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Vertrieb GEO\Projekte\2020 GEO Homepage NEU\Korrekturen\Fertig\"/>
    </mc:Choice>
  </mc:AlternateContent>
  <xr:revisionPtr revIDLastSave="0" documentId="8_{81E5C5E9-4A15-4465-BE08-EBF64CD6A29C}" xr6:coauthVersionLast="45" xr6:coauthVersionMax="45" xr10:uidLastSave="{00000000-0000-0000-0000-000000000000}"/>
  <bookViews>
    <workbookView xWindow="-120" yWindow="-120" windowWidth="29040" windowHeight="15840" tabRatio="789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6" i="7" l="1"/>
  <c r="V26" i="7"/>
  <c r="U26" i="7"/>
  <c r="T26" i="7"/>
  <c r="S26" i="7"/>
  <c r="R26" i="7"/>
  <c r="W25" i="7"/>
  <c r="V25" i="7"/>
  <c r="U25" i="7"/>
  <c r="T25" i="7"/>
  <c r="S25" i="7"/>
  <c r="R25" i="7"/>
  <c r="W24" i="7"/>
  <c r="V24" i="7"/>
  <c r="U24" i="7"/>
  <c r="T24" i="7"/>
  <c r="S24" i="7"/>
  <c r="R24" i="7"/>
  <c r="W23" i="7"/>
  <c r="V23" i="7"/>
  <c r="U23" i="7"/>
  <c r="T23" i="7"/>
  <c r="S23" i="7"/>
  <c r="R23" i="7"/>
  <c r="W21" i="7"/>
  <c r="V21" i="7"/>
  <c r="U21" i="7"/>
  <c r="T21" i="7"/>
  <c r="S21" i="7"/>
  <c r="R21" i="7"/>
  <c r="W20" i="7"/>
  <c r="V20" i="7"/>
  <c r="U20" i="7"/>
  <c r="T20" i="7"/>
  <c r="S20" i="7"/>
  <c r="R20" i="7"/>
  <c r="W19" i="7"/>
  <c r="V19" i="7"/>
  <c r="U19" i="7"/>
  <c r="T19" i="7"/>
  <c r="S19" i="7"/>
  <c r="R19" i="7"/>
  <c r="W18" i="7"/>
  <c r="V18" i="7"/>
  <c r="U18" i="7"/>
  <c r="T18" i="7"/>
  <c r="S18" i="7"/>
  <c r="R18" i="7"/>
  <c r="W17" i="7"/>
  <c r="V17" i="7"/>
  <c r="U17" i="7"/>
  <c r="T17" i="7"/>
  <c r="S17" i="7"/>
  <c r="R17" i="7"/>
  <c r="W16" i="7"/>
  <c r="V16" i="7"/>
  <c r="U16" i="7"/>
  <c r="T16" i="7"/>
  <c r="S16" i="7"/>
  <c r="R16" i="7"/>
  <c r="W15" i="7"/>
  <c r="V15" i="7"/>
  <c r="U15" i="7"/>
  <c r="T15" i="7"/>
  <c r="S15" i="7"/>
  <c r="R15" i="7"/>
  <c r="W14" i="7"/>
  <c r="V14" i="7"/>
  <c r="U14" i="7"/>
  <c r="T14" i="7"/>
  <c r="S14" i="7"/>
  <c r="R14" i="7"/>
  <c r="W13" i="7"/>
  <c r="V13" i="7"/>
  <c r="U13" i="7"/>
  <c r="T13" i="7"/>
  <c r="S13" i="7"/>
  <c r="R13" i="7"/>
  <c r="W12" i="7"/>
  <c r="V12" i="7"/>
  <c r="U12" i="7"/>
  <c r="T12" i="7"/>
  <c r="S12" i="7"/>
  <c r="R12" i="7"/>
  <c r="E7" i="18"/>
  <c r="E6" i="18"/>
  <c r="E4" i="18"/>
  <c r="E7" i="17"/>
  <c r="E6" i="17"/>
  <c r="E4" i="17"/>
  <c r="X12" i="7" l="1"/>
  <c r="X26" i="7"/>
  <c r="X16" i="7"/>
  <c r="X13" i="7"/>
  <c r="X18" i="7"/>
  <c r="X25" i="7"/>
  <c r="X24" i="7"/>
  <c r="X23" i="7"/>
  <c r="X21" i="7"/>
  <c r="X20" i="7"/>
  <c r="X19" i="7"/>
  <c r="X17" i="7"/>
  <c r="X15" i="7"/>
  <c r="X14" i="7"/>
  <c r="C33" i="15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G63" i="18" l="1"/>
  <c r="J63" i="18"/>
  <c r="K53" i="18"/>
  <c r="E63" i="18"/>
  <c r="D32" i="18"/>
  <c r="L31" i="18" s="1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H53" i="18"/>
  <c r="H63" i="18"/>
  <c r="D24" i="15"/>
  <c r="C23" i="15"/>
  <c r="K31" i="18" l="1"/>
  <c r="I21" i="18"/>
  <c r="M31" i="18"/>
  <c r="F31" i="18"/>
  <c r="M21" i="18"/>
  <c r="G31" i="18"/>
  <c r="H31" i="18"/>
  <c r="L21" i="18"/>
  <c r="J31" i="18"/>
  <c r="N31" i="18"/>
  <c r="G21" i="18"/>
  <c r="N21" i="18"/>
  <c r="K21" i="18"/>
  <c r="H21" i="18"/>
  <c r="F21" i="18"/>
  <c r="E21" i="18" s="1"/>
  <c r="I31" i="18"/>
  <c r="E31" i="18" s="1"/>
  <c r="D56" i="18"/>
  <c r="J55" i="18" s="1"/>
  <c r="D66" i="18"/>
  <c r="K65" i="18" s="1"/>
  <c r="F69" i="17"/>
  <c r="G69" i="17"/>
  <c r="H69" i="17"/>
  <c r="I69" i="17"/>
  <c r="J69" i="17"/>
  <c r="K69" i="17"/>
  <c r="L69" i="17"/>
  <c r="M69" i="17"/>
  <c r="N69" i="17"/>
  <c r="E69" i="17"/>
  <c r="N55" i="18" l="1"/>
  <c r="M55" i="18"/>
  <c r="H55" i="18"/>
  <c r="F55" i="18"/>
  <c r="L55" i="18"/>
  <c r="G55" i="18"/>
  <c r="I55" i="18"/>
  <c r="K55" i="18"/>
  <c r="L65" i="18"/>
  <c r="M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E55" i="18" l="1"/>
  <c r="E65" i="18"/>
  <c r="X11" i="7"/>
  <c r="G57" i="17"/>
  <c r="H57" i="17"/>
  <c r="I57" i="17"/>
  <c r="J57" i="17"/>
  <c r="K57" i="17"/>
  <c r="L57" i="17"/>
  <c r="M57" i="17"/>
  <c r="N57" i="17"/>
  <c r="H63" i="17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H55" i="17"/>
  <c r="L55" i="17"/>
  <c r="E65" i="17" l="1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22" i="7" s="1"/>
  <c r="H21" i="4"/>
  <c r="V22" i="7" s="1"/>
  <c r="G21" i="4"/>
  <c r="U22" i="7" s="1"/>
  <c r="F21" i="4"/>
  <c r="T22" i="7" s="1"/>
  <c r="E21" i="4"/>
  <c r="S22" i="7" s="1"/>
  <c r="D21" i="4"/>
  <c r="R22" i="7" s="1"/>
  <c r="M20" i="4"/>
  <c r="M19" i="4"/>
  <c r="M16" i="4"/>
  <c r="M18" i="4"/>
  <c r="M17" i="4"/>
  <c r="M15" i="4"/>
  <c r="M14" i="4"/>
  <c r="M13" i="4"/>
  <c r="M12" i="4"/>
  <c r="M11" i="4"/>
  <c r="X22" i="7" l="1"/>
  <c r="C11" i="8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F26" i="7" l="1"/>
  <c r="J26" i="7"/>
  <c r="I25" i="7"/>
  <c r="P24" i="7"/>
  <c r="H24" i="7"/>
  <c r="O23" i="7"/>
  <c r="N22" i="7"/>
  <c r="M21" i="7"/>
  <c r="J18" i="7"/>
  <c r="F25" i="7"/>
  <c r="I26" i="7"/>
  <c r="P25" i="7"/>
  <c r="H25" i="7"/>
  <c r="O24" i="7"/>
  <c r="N23" i="7"/>
  <c r="M22" i="7"/>
  <c r="L21" i="7"/>
  <c r="K20" i="7"/>
  <c r="J19" i="7"/>
  <c r="I18" i="7"/>
  <c r="P17" i="7"/>
  <c r="H17" i="7"/>
  <c r="O16" i="7"/>
  <c r="N15" i="7"/>
  <c r="M14" i="7"/>
  <c r="L13" i="7"/>
  <c r="K12" i="7"/>
  <c r="F18" i="7"/>
  <c r="F24" i="7"/>
  <c r="P26" i="7"/>
  <c r="H26" i="7"/>
  <c r="O25" i="7"/>
  <c r="N24" i="7"/>
  <c r="M23" i="7"/>
  <c r="L22" i="7"/>
  <c r="K21" i="7"/>
  <c r="J20" i="7"/>
  <c r="I19" i="7"/>
  <c r="P18" i="7"/>
  <c r="H18" i="7"/>
  <c r="O17" i="7"/>
  <c r="N16" i="7"/>
  <c r="M15" i="7"/>
  <c r="L14" i="7"/>
  <c r="K13" i="7"/>
  <c r="J12" i="7"/>
  <c r="F17" i="7"/>
  <c r="F23" i="7"/>
  <c r="O26" i="7"/>
  <c r="N25" i="7"/>
  <c r="M24" i="7"/>
  <c r="L23" i="7"/>
  <c r="K22" i="7"/>
  <c r="J21" i="7"/>
  <c r="I20" i="7"/>
  <c r="P19" i="7"/>
  <c r="H19" i="7"/>
  <c r="O18" i="7"/>
  <c r="N17" i="7"/>
  <c r="M16" i="7"/>
  <c r="L15" i="7"/>
  <c r="K14" i="7"/>
  <c r="J13" i="7"/>
  <c r="I12" i="7"/>
  <c r="F16" i="7"/>
  <c r="F15" i="7"/>
  <c r="K17" i="7"/>
  <c r="I15" i="7"/>
  <c r="P14" i="7"/>
  <c r="H14" i="7"/>
  <c r="O13" i="7"/>
  <c r="N26" i="7"/>
  <c r="M25" i="7"/>
  <c r="L24" i="7"/>
  <c r="K23" i="7"/>
  <c r="J22" i="7"/>
  <c r="I21" i="7"/>
  <c r="P20" i="7"/>
  <c r="H20" i="7"/>
  <c r="O19" i="7"/>
  <c r="N18" i="7"/>
  <c r="M17" i="7"/>
  <c r="L16" i="7"/>
  <c r="K15" i="7"/>
  <c r="J14" i="7"/>
  <c r="I13" i="7"/>
  <c r="P12" i="7"/>
  <c r="H12" i="7"/>
  <c r="M26" i="7"/>
  <c r="L25" i="7"/>
  <c r="K24" i="7"/>
  <c r="J23" i="7"/>
  <c r="I22" i="7"/>
  <c r="P21" i="7"/>
  <c r="H21" i="7"/>
  <c r="O20" i="7"/>
  <c r="N19" i="7"/>
  <c r="M18" i="7"/>
  <c r="L17" i="7"/>
  <c r="K16" i="7"/>
  <c r="J15" i="7"/>
  <c r="I14" i="7"/>
  <c r="P13" i="7"/>
  <c r="H13" i="7"/>
  <c r="O12" i="7"/>
  <c r="F22" i="7"/>
  <c r="F14" i="7"/>
  <c r="L26" i="7"/>
  <c r="K25" i="7"/>
  <c r="J24" i="7"/>
  <c r="I23" i="7"/>
  <c r="P22" i="7"/>
  <c r="H22" i="7"/>
  <c r="O21" i="7"/>
  <c r="N20" i="7"/>
  <c r="M19" i="7"/>
  <c r="L18" i="7"/>
  <c r="J16" i="7"/>
  <c r="N12" i="7"/>
  <c r="K26" i="7"/>
  <c r="J25" i="7"/>
  <c r="I24" i="7"/>
  <c r="P23" i="7"/>
  <c r="H23" i="7"/>
  <c r="O22" i="7"/>
  <c r="N21" i="7"/>
  <c r="M20" i="7"/>
  <c r="L19" i="7"/>
  <c r="K18" i="7"/>
  <c r="J17" i="7"/>
  <c r="I16" i="7"/>
  <c r="P15" i="7"/>
  <c r="H15" i="7"/>
  <c r="Q15" i="7" s="1"/>
  <c r="O14" i="7"/>
  <c r="N13" i="7"/>
  <c r="M12" i="7"/>
  <c r="F20" i="7"/>
  <c r="F12" i="7"/>
  <c r="L20" i="7"/>
  <c r="K19" i="7"/>
  <c r="I17" i="7"/>
  <c r="P16" i="7"/>
  <c r="H16" i="7"/>
  <c r="Q16" i="7" s="1"/>
  <c r="O15" i="7"/>
  <c r="N14" i="7"/>
  <c r="M13" i="7"/>
  <c r="L12" i="7"/>
  <c r="F19" i="7"/>
  <c r="F21" i="7"/>
  <c r="F13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3" i="7" l="1"/>
  <c r="Q12" i="7"/>
  <c r="Q18" i="7"/>
  <c r="Q21" i="7"/>
  <c r="Q20" i="7"/>
  <c r="Q26" i="7"/>
  <c r="Q14" i="7"/>
  <c r="Q17" i="7"/>
  <c r="Q25" i="7"/>
  <c r="Q24" i="7"/>
  <c r="Q23" i="7"/>
  <c r="Q22" i="7"/>
  <c r="Q19" i="7"/>
  <c r="Q11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<sst xmlns="http://schemas.openxmlformats.org/spreadsheetml/2006/main" count="1375" uniqueCount="680">
  <si>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</si>
  <si>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</si>
  <si>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</si>
  <si>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</si>
  <si>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</si>
  <si>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</si>
  <si>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</si>
  <si>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</si>
  <si>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</si>
  <si>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</si>
  <si>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</si>
  <si>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</si>
  <si>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</si>
  <si>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</si>
  <si>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</si>
  <si>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</si>
  <si>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</si>
  <si>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</si>
  <si>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</si>
  <si>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</si>
  <si>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</si>
  <si>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</si>
  <si>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</si>
  <si>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</si>
  <si>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</si>
  <si>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</si>
  <si>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</si>
  <si>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</si>
  <si>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</si>
  <si>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</si>
  <si>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</si>
  <si>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</si>
  <si>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</si>
  <si>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</si>
  <si>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</si>
  <si>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</si>
  <si>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</si>
  <si>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</si>
  <si>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</si>
  <si>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</si>
  <si>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</si>
  <si>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</si>
  <si>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</si>
  <si>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</si>
  <si>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</si>
  <si>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</si>
  <si>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</si>
  <si>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</si>
  <si>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</si>
  <si>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</si>
  <si>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</si>
  <si>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</si>
  <si>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</si>
  <si>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</si>
  <si>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</si>
  <si>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</si>
  <si>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</si>
  <si>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</si>
  <si>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</si>
  <si>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</si>
  <si>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</si>
  <si>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</si>
  <si>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</si>
  <si>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</si>
  <si>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</si>
  <si>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</si>
  <si>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</si>
  <si>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</si>
  <si>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</si>
  <si>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</si>
  <si>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</si>
  <si>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</si>
  <si>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</si>
  <si>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</si>
  <si>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</si>
  <si>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</si>
  <si>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</si>
  <si>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</si>
  <si>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</si>
  <si>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</si>
  <si>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</si>
  <si>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</si>
  <si>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</si>
  <si>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</si>
  <si>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</si>
  <si>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</si>
  <si>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</si>
  <si>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</si>
  <si>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</si>
  <si>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</si>
  <si>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</si>
  <si>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</si>
  <si>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</si>
  <si>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</si>
  <si>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</si>
  <si>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</si>
  <si>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</si>
  <si>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</si>
  <si>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</si>
  <si>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</si>
  <si>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</si>
  <si>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</si>
  <si>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</si>
  <si>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</si>
  <si>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</si>
  <si>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</si>
  <si>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</si>
  <si>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</si>
  <si>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</si>
  <si>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</si>
  <si>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</si>
  <si>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</si>
  <si>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</si>
  <si>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</si>
  <si>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</si>
  <si>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</si>
  <si>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</si>
  <si>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</si>
  <si>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</si>
  <si>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</si>
  <si>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</si>
  <si>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</si>
  <si>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</si>
  <si>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</si>
  <si>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</si>
  <si>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</si>
  <si>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</si>
  <si>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</si>
  <si>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</si>
  <si>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</si>
  <si>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</si>
  <si>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</si>
  <si>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</si>
  <si>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</si>
  <si>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</si>
  <si>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</si>
  <si>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</si>
  <si>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</si>
  <si>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</si>
  <si>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</si>
  <si>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</si>
  <si>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</si>
  <si>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</si>
  <si>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</si>
  <si>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</si>
  <si>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</si>
  <si>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</si>
  <si>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</si>
  <si>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</si>
  <si>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</si>
  <si>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</si>
  <si>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</si>
  <si>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</si>
  <si>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</si>
  <si>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</si>
  <si>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</si>
  <si>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</si>
  <si>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</si>
  <si>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</si>
  <si>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</si>
  <si>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</si>
  <si>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</si>
  <si>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</si>
  <si>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</si>
  <si>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</si>
  <si>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</si>
  <si>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</si>
  <si>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</si>
  <si>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</si>
  <si>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</si>
  <si>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</si>
  <si>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</si>
  <si>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</si>
  <si>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</si>
  <si>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</si>
  <si>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</si>
  <si>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</si>
  <si>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</si>
  <si>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</si>
  <si>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</si>
  <si>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</si>
  <si>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</si>
  <si>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</si>
  <si>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</si>
  <si>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</si>
  <si>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</si>
  <si>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</si>
  <si>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</si>
  <si>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</si>
  <si>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</si>
  <si>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</si>
  <si>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</si>
  <si>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</si>
  <si>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</si>
  <si>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</si>
  <si>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</si>
  <si>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</si>
  <si>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</si>
  <si>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</si>
  <si>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</si>
  <si>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</si>
  <si>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</si>
  <si>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</si>
  <si>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</si>
  <si>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</si>
  <si>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</si>
  <si>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</si>
  <si>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</si>
  <si>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</si>
  <si>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</si>
  <si>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</si>
  <si>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</si>
  <si>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</si>
  <si>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</si>
  <si>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</si>
  <si>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</si>
  <si>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</si>
  <si>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</si>
  <si>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</si>
  <si>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</si>
  <si>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</si>
  <si>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</si>
  <si>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</si>
  <si>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</si>
  <si>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</si>
  <si>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</si>
  <si>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</si>
  <si>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</si>
  <si>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</si>
  <si>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</si>
  <si>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</si>
  <si>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</si>
  <si>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</si>
  <si>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</si>
  <si>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</si>
  <si>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</si>
  <si>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</si>
  <si>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</si>
  <si>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</si>
  <si>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</si>
  <si>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</si>
  <si>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</si>
  <si>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</si>
  <si>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</si>
  <si>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</si>
  <si>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</si>
  <si>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</si>
  <si>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</si>
  <si>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</si>
  <si>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</si>
  <si>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</si>
  <si>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</si>
  <si>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</si>
  <si>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</si>
  <si>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</si>
  <si>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</si>
  <si>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</si>
  <si>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</si>
  <si>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</si>
  <si>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</si>
  <si>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</si>
  <si>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</si>
  <si>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</si>
  <si>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</si>
  <si>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</si>
  <si>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</si>
  <si>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</si>
  <si>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</si>
  <si>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</si>
  <si>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</si>
  <si>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</si>
  <si>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</si>
  <si>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</si>
  <si>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</si>
  <si>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</si>
  <si>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</si>
  <si>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</si>
  <si>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</si>
  <si>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</si>
  <si>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</si>
  <si>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</si>
  <si>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</si>
  <si>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</si>
  <si>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</si>
  <si>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</si>
  <si>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</si>
  <si>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</si>
  <si>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</si>
  <si>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</si>
  <si>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</si>
  <si>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</si>
  <si>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</si>
  <si>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</si>
  <si>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</si>
  <si>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</si>
  <si>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</si>
  <si>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</si>
  <si>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</si>
  <si>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</si>
  <si>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</si>
  <si>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</si>
  <si>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</si>
  <si>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</si>
  <si>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</si>
  <si>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</si>
  <si>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</si>
  <si>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</si>
  <si>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</si>
  <si>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</si>
  <si>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</si>
  <si>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</si>
  <si>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</si>
  <si>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</si>
  <si>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</si>
  <si>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</si>
  <si>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</si>
  <si>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</si>
  <si>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</si>
  <si>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</si>
  <si>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</si>
  <si>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</si>
  <si>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</si>
  <si>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</si>
  <si>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</si>
  <si>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</si>
  <si>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</si>
  <si>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</si>
  <si>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</si>
  <si>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</si>
  <si>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</si>
  <si>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</si>
  <si>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</si>
  <si>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</si>
  <si>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</si>
  <si>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</si>
  <si>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</si>
  <si>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</si>
  <si>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</si>
  <si>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</si>
  <si>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</si>
  <si>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</si>
  <si>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</si>
  <si>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</si>
  <si>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</si>
  <si>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</si>
  <si>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</si>
  <si>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</si>
  <si>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</si>
  <si>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</si>
  <si>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</si>
  <si>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</si>
  <si>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</si>
  <si>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</si>
  <si>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</si>
  <si>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</si>
  <si>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</si>
  <si>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</si>
  <si>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</si>
  <si>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</si>
  <si>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</si>
  <si>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</si>
  <si>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</si>
  <si>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</si>
  <si>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</si>
  <si>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</si>
  <si>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</si>
  <si>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</si>
  <si>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</si>
  <si>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</si>
  <si>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</si>
  <si>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</si>
  <si>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</si>
  <si>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</si>
  <si>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</si>
  <si>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</si>
  <si>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</si>
  <si>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</si>
  <si>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</si>
  <si>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</si>
  <si>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</si>
  <si>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</si>
  <si>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</si>
  <si>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</si>
  <si>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</si>
  <si>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</si>
  <si>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</si>
  <si>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</si>
  <si>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</si>
  <si>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</si>
  <si>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</si>
  <si>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</si>
  <si>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</si>
  <si>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</si>
  <si>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</si>
  <si>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</si>
  <si>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</si>
  <si>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</si>
  <si>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</si>
  <si>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</si>
  <si>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</si>
  <si>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</si>
  <si>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</si>
  <si>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</si>
  <si>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</si>
  <si>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</si>
  <si>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</si>
  <si>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</si>
  <si>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</si>
  <si>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</si>
  <si>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</si>
  <si>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</si>
  <si>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</si>
  <si>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</si>
  <si>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</si>
  <si>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</si>
  <si>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</si>
  <si>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</si>
  <si>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</si>
  <si>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</si>
  <si>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</si>
  <si>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</si>
  <si>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</si>
  <si>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</si>
  <si>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</si>
  <si>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</si>
  <si>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</si>
  <si>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</si>
  <si>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</si>
  <si>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</si>
  <si>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</si>
  <si>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</si>
  <si>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</si>
  <si>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</si>
  <si>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</si>
  <si>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</si>
  <si>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</si>
  <si>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</si>
  <si>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</si>
  <si>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</si>
  <si>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</si>
  <si>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</si>
  <si>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</si>
  <si>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</si>
  <si>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</si>
  <si>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</si>
  <si>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</si>
  <si>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</si>
  <si>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</si>
  <si>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</si>
  <si>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</si>
  <si>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</si>
  <si>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</si>
  <si>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</si>
  <si>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</si>
  <si>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</si>
  <si>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</si>
  <si>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</si>
  <si>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</si>
  <si>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</si>
  <si>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</si>
  <si>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</si>
  <si>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</si>
  <si>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</si>
  <si>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</si>
  <si>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</si>
  <si>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</si>
  <si>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</si>
  <si>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</si>
  <si>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</si>
  <si>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</si>
  <si>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</si>
  <si>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</si>
  <si>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</si>
  <si>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</si>
  <si>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</si>
  <si>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</si>
  <si>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</si>
  <si>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</si>
  <si>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</si>
  <si>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</si>
  <si>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</si>
  <si>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</si>
  <si>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</si>
  <si>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</si>
  <si>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</si>
  <si>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</si>
  <si>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</si>
  <si>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</si>
  <si>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</si>
  <si>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</si>
  <si>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</si>
  <si>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</si>
  <si>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</si>
  <si>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</si>
  <si>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</si>
  <si>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</si>
  <si>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</si>
  <si>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</si>
  <si>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</si>
  <si>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</si>
  <si>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</si>
  <si>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</si>
  <si>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</si>
  <si>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</si>
  <si>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</si>
  <si>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</si>
  <si>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</si>
  <si>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</si>
  <si>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</si>
  <si>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</si>
  <si>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</si>
  <si>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</si>
  <si>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</si>
  <si>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</si>
  <si>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</si>
  <si>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</si>
  <si>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</si>
  <si>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</si>
  <si>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</si>
  <si>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</si>
  <si>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</si>
  <si>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</si>
  <si>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</si>
  <si>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</si>
  <si>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</si>
  <si>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</si>
  <si>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</si>
  <si>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</si>
  <si>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</si>
  <si>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</si>
  <si>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</si>
  <si>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</si>
  <si>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</si>
  <si>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</si>
  <si>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</si>
  <si>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</si>
  <si>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</si>
  <si>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</si>
  <si>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</si>
  <si>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</si>
  <si>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</si>
  <si>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</si>
  <si>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</si>
  <si>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</si>
  <si>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</si>
  <si>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</si>
  <si>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</si>
  <si>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</si>
  <si>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</si>
  <si>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</si>
  <si>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</si>
  <si>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</si>
  <si>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</si>
  <si>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</si>
  <si>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</si>
  <si>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</si>
  <si>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</si>
  <si>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</si>
  <si>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</si>
  <si>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</si>
  <si>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</si>
  <si>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</si>
  <si>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</si>
  <si>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</si>
  <si>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</si>
  <si>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</si>
  <si>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</si>
  <si>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</si>
  <si>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</si>
  <si>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</si>
  <si>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</si>
  <si>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</si>
  <si>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</si>
  <si>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</si>
  <si>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</si>
  <si>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</si>
  <si>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</si>
  <si>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</si>
  <si>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</si>
  <si>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</si>
  <si>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</si>
  <si>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</si>
  <si>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</si>
  <si>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</si>
  <si>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</si>
  <si>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</si>
  <si>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</si>
  <si>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</si>
  <si>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</si>
  <si>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</si>
  <si>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</si>
  <si>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</si>
  <si>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</si>
  <si>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</si>
  <si>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</si>
  <si>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</si>
  <si>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</si>
  <si>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</si>
  <si>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</si>
  <si>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</si>
  <si>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</si>
  <si>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</si>
  <si>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</si>
  <si>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</si>
  <si>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</si>
  <si>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</si>
  <si>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</si>
  <si>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</si>
  <si>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</si>
  <si>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</si>
  <si>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</si>
  <si>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</si>
  <si>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</si>
  <si>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</si>
  <si>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</si>
  <si>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</si>
  <si>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</si>
  <si>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</si>
  <si>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</si>
  <si>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</si>
  <si>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</si>
  <si>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</si>
  <si>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</si>
  <si>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</si>
  <si>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</si>
  <si>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</si>
  <si>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</si>
  <si>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</si>
  <si>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</si>
  <si>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</si>
  <si>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</si>
  <si>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</si>
  <si>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</si>
  <si>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</si>
  <si>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</si>
  <si>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</si>
  <si>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</si>
  <si>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</si>
  <si>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</si>
  <si>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</si>
  <si>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</si>
  <si>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</si>
  <si>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</si>
  <si>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</si>
  <si>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</si>
  <si>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</si>
  <si>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</si>
  <si>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</si>
  <si>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</si>
  <si>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</si>
  <si>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</si>
  <si>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</si>
  <si>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</si>
  <si>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</si>
  <si>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</si>
  <si>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</si>
  <si>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</si>
  <si>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Meteomedia</t>
  </si>
  <si>
    <t>Hohentwiel</t>
  </si>
  <si>
    <t>GEO Oberkochen</t>
  </si>
  <si>
    <t>9870027200003</t>
  </si>
  <si>
    <t>Heidenheimer Str. 35</t>
  </si>
  <si>
    <t>Oberkochen</t>
  </si>
  <si>
    <t>NCHN007002720000</t>
  </si>
  <si>
    <t>Ellwangen-Rindelbach</t>
  </si>
  <si>
    <t>DE_GBA04</t>
  </si>
  <si>
    <t>DE_GBD04</t>
  </si>
  <si>
    <t>DE_GBH04</t>
  </si>
  <si>
    <t>DE_GGA04</t>
  </si>
  <si>
    <t>DE_GGB04</t>
  </si>
  <si>
    <t>DE_GHA04</t>
  </si>
  <si>
    <t>DE_GHD04</t>
  </si>
  <si>
    <t>DE_GKO04</t>
  </si>
  <si>
    <t>DE_GMF04</t>
  </si>
  <si>
    <t>DE_GMK04</t>
  </si>
  <si>
    <t>DE_GPD04</t>
  </si>
  <si>
    <t>DE_GWA04</t>
  </si>
  <si>
    <t>Team Bilanzierung</t>
  </si>
  <si>
    <t>netznutzung@suedwest-edm.de</t>
  </si>
  <si>
    <t>07071 157 3363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</si>
</sst>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9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4" fontId="0" fillId="72" borderId="78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3" fontId="0" fillId="71" borderId="73" xfId="0" applyNumberFormat="1" applyFont="1" applyFill="1" applyBorder="1" applyAlignment="1" applyProtection="1">
      <alignment horizontal="center" vertical="center"/>
      <protection locked="0"/>
    </xf>
    <xf numFmtId="184" fontId="0" fillId="71" borderId="73" xfId="0" applyNumberFormat="1" applyFont="1" applyFill="1" applyBorder="1" applyAlignment="1" applyProtection="1">
      <alignment vertical="center"/>
      <protection locked="0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L1" sqref="L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338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7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zoomScale="80" zoomScaleNormal="80" workbookViewId="0">
      <selection activeCell="D4" sqref="D4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656</v>
      </c>
      <c r="D4" s="27">
        <v>42660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655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659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31" t="s">
        <v>660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661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73447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662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677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678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679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504</v>
      </c>
      <c r="E27" s="39"/>
      <c r="F27" s="11"/>
    </row>
    <row r="28" spans="1:15">
      <c r="B28" s="15"/>
      <c r="C28" s="65" t="s">
        <v>504</v>
      </c>
      <c r="D28" s="48" t="str">
        <f>IF(D27&lt;&gt;C28,VLOOKUP(D27,$C$29:$D$48,2,FALSE),C28)</f>
        <v>Angaben gelten für alle Netzgebiete</v>
      </c>
      <c r="E28" s="38"/>
      <c r="F28" s="11"/>
      <c r="G28" s="2"/>
    </row>
    <row r="29" spans="1:15">
      <c r="B29" s="15"/>
      <c r="C29" s="22" t="s">
        <v>396</v>
      </c>
      <c r="D29" s="45" t="s">
        <v>662</v>
      </c>
      <c r="E29" s="40"/>
      <c r="F29" s="11"/>
      <c r="G29" s="2"/>
    </row>
    <row r="30" spans="1:15">
      <c r="B30" s="15"/>
      <c r="C30" s="22" t="s">
        <v>397</v>
      </c>
      <c r="D30" s="45"/>
      <c r="E30" s="40"/>
      <c r="F30" s="47"/>
      <c r="G30" s="2"/>
    </row>
    <row r="31" spans="1:15">
      <c r="B31" s="15"/>
      <c r="C31" s="22" t="s">
        <v>422</v>
      </c>
      <c r="D31" s="45"/>
      <c r="E31" s="40"/>
      <c r="F31" s="47"/>
      <c r="G31" s="2"/>
    </row>
    <row r="32" spans="1:15">
      <c r="B32" s="15"/>
      <c r="C32" s="22" t="s">
        <v>423</v>
      </c>
      <c r="D32" s="45"/>
      <c r="E32" s="40"/>
      <c r="F32" s="47"/>
      <c r="G32" s="2"/>
    </row>
    <row r="33" spans="2:7">
      <c r="B33" s="15"/>
      <c r="C33" s="22" t="s">
        <v>424</v>
      </c>
      <c r="D33" s="45"/>
      <c r="E33" s="40"/>
      <c r="F33" s="47"/>
      <c r="G33" s="2"/>
    </row>
    <row r="34" spans="2:7">
      <c r="B34" s="15"/>
      <c r="C34" s="22" t="s">
        <v>425</v>
      </c>
      <c r="D34" s="46"/>
      <c r="E34" s="40"/>
      <c r="F34" s="47"/>
      <c r="G34" s="2"/>
    </row>
    <row r="35" spans="2:7">
      <c r="B35" s="15"/>
      <c r="C35" s="22" t="s">
        <v>426</v>
      </c>
      <c r="D35" s="46"/>
      <c r="E35" s="40"/>
      <c r="F35" s="47"/>
      <c r="G35" s="2"/>
    </row>
    <row r="36" spans="2:7">
      <c r="B36" s="15"/>
      <c r="C36" s="22" t="s">
        <v>427</v>
      </c>
      <c r="D36" s="46"/>
      <c r="E36" s="40"/>
      <c r="F36" s="47"/>
      <c r="G36" s="2"/>
    </row>
    <row r="37" spans="2:7">
      <c r="B37" s="15"/>
      <c r="C37" s="22" t="s">
        <v>428</v>
      </c>
      <c r="D37" s="46"/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topLeftCell="A19" zoomScale="80" zoomScaleNormal="80" workbookViewId="0">
      <selection activeCell="D49" sqref="D49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GEO Oberkochen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8" t="str">
        <f>Netzbetreiber!D28</f>
        <v>Angaben gelten für alle Netzgebiete</v>
      </c>
      <c r="E6" s="15"/>
      <c r="H6" s="67"/>
      <c r="I6" s="67"/>
      <c r="J6" s="67"/>
      <c r="K6" s="67"/>
    </row>
    <row r="7" spans="2:15" ht="15" customHeight="1">
      <c r="B7" s="22"/>
      <c r="C7" s="60" t="s">
        <v>490</v>
      </c>
      <c r="D7" s="328">
        <v>9870027200003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617</v>
      </c>
      <c r="D13" s="33" t="s">
        <v>618</v>
      </c>
      <c r="E13" s="15"/>
      <c r="H13" s="271" t="s">
        <v>618</v>
      </c>
      <c r="I13" s="271" t="s">
        <v>619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433</v>
      </c>
      <c r="D15" s="42" t="s">
        <v>663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431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577</v>
      </c>
      <c r="I19" s="270" t="s">
        <v>491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492</v>
      </c>
      <c r="I20" s="270" t="s">
        <v>493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615</v>
      </c>
      <c r="D22" s="49" t="s">
        <v>611</v>
      </c>
      <c r="E22" s="15"/>
      <c r="H22" s="267" t="s">
        <v>611</v>
      </c>
      <c r="I22" s="267" t="s">
        <v>612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620</v>
      </c>
      <c r="E23" s="15"/>
      <c r="H23" s="267" t="s">
        <v>614</v>
      </c>
      <c r="I23" s="8" t="s">
        <v>610</v>
      </c>
      <c r="J23" s="8"/>
      <c r="K23" s="8"/>
      <c r="L23" s="268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7" t="s">
        <v>613</v>
      </c>
      <c r="I24" s="267" t="s">
        <v>620</v>
      </c>
      <c r="J24" s="8"/>
      <c r="K24" s="8"/>
      <c r="L24" s="270" t="s">
        <v>621</v>
      </c>
      <c r="M24" s="270" t="s">
        <v>623</v>
      </c>
      <c r="N24" s="270" t="s">
        <v>622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371</v>
      </c>
      <c r="C26" s="6" t="s">
        <v>580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624</v>
      </c>
      <c r="D27" s="42" t="s">
        <v>625</v>
      </c>
      <c r="E27" s="15"/>
      <c r="H27" s="297" t="s">
        <v>625</v>
      </c>
      <c r="I27" s="269" t="s">
        <v>626</v>
      </c>
      <c r="J27" s="269" t="s">
        <v>627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628</v>
      </c>
      <c r="I28" s="270" t="s">
        <v>629</v>
      </c>
      <c r="J28" s="270" t="s">
        <v>630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631</v>
      </c>
      <c r="I29" s="270" t="s">
        <v>632</v>
      </c>
      <c r="J29" s="270" t="s">
        <v>633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496</v>
      </c>
      <c r="C31" s="6" t="s">
        <v>579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634</v>
      </c>
      <c r="I32" s="270" t="s">
        <v>635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636</v>
      </c>
      <c r="I33" s="267" t="s">
        <v>631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551</v>
      </c>
      <c r="C35" s="24" t="s">
        <v>498</v>
      </c>
      <c r="D35" s="42">
        <v>15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552</v>
      </c>
      <c r="C37" s="5" t="s">
        <v>366</v>
      </c>
      <c r="D37" s="34">
        <v>1500000</v>
      </c>
      <c r="E37" s="15" t="s">
        <v>509</v>
      </c>
      <c r="I37" s="267"/>
      <c r="J37" s="267"/>
      <c r="K37" s="267"/>
      <c r="L37" s="267"/>
      <c r="M37" s="268"/>
    </row>
    <row r="38" spans="2:39" customFormat="1" ht="15" customHeight="1">
      <c r="C38" s="8" t="s">
        <v>494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553</v>
      </c>
      <c r="C40" s="5" t="s">
        <v>367</v>
      </c>
      <c r="D40" s="36">
        <v>500</v>
      </c>
      <c r="E40" s="15" t="s">
        <v>543</v>
      </c>
      <c r="H40" s="67"/>
      <c r="I40" s="67"/>
      <c r="J40" s="67"/>
      <c r="K40" s="67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60" t="s">
        <v>578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45" t="s">
        <v>662</v>
      </c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  <row r="60" spans="3:4" ht="18" customHeight="1">
      <c r="C60" s="22" t="s">
        <v>600</v>
      </c>
      <c r="D60" s="45"/>
    </row>
    <row r="61" spans="3:4" ht="18" customHeight="1">
      <c r="C61" s="22" t="s">
        <v>601</v>
      </c>
      <c r="D61" s="45"/>
    </row>
    <row r="62" spans="3:4" ht="18" customHeight="1">
      <c r="C62" s="22" t="s">
        <v>602</v>
      </c>
      <c r="D62" s="45"/>
    </row>
  </sheetData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topLeftCell="A49" zoomScale="70" zoomScaleNormal="70" workbookViewId="0">
      <selection activeCell="E70" sqref="E70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546</v>
      </c>
    </row>
    <row r="3" spans="2:56" ht="15" customHeight="1">
      <c r="B3" s="170"/>
    </row>
    <row r="4" spans="2:56">
      <c r="B4" s="130"/>
      <c r="C4" s="56" t="s">
        <v>448</v>
      </c>
      <c r="D4" s="57"/>
      <c r="E4" s="330" t="str">
        <f>Netzbetreiber!D9</f>
        <v>GEO Oberkochen</v>
      </c>
      <c r="F4" s="330"/>
      <c r="G4" s="330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Netzbetreiber!D28</f>
        <v>Angaben gelten für alle Netzgebiete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29" t="str">
        <f>Netzbetreiber!D11</f>
        <v>9870027200003</v>
      </c>
      <c r="F6" s="329"/>
      <c r="G6" s="329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1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1</v>
      </c>
      <c r="G10" s="57"/>
      <c r="H10" s="171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3" t="str">
        <f>INDEX('SLP-Verfahren'!D48:D62,'SLP-Temp-Gebiet #01'!F10)</f>
        <v>Oberkochen</v>
      </c>
      <c r="G11" s="333"/>
      <c r="H11" s="289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2" t="s">
        <v>586</v>
      </c>
      <c r="D13" s="342"/>
      <c r="E13" s="342"/>
      <c r="F13" s="181" t="s">
        <v>550</v>
      </c>
      <c r="G13" s="130" t="s">
        <v>548</v>
      </c>
      <c r="H13" s="261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3" t="s">
        <v>451</v>
      </c>
      <c r="D14" s="343"/>
      <c r="E14" s="89" t="s">
        <v>452</v>
      </c>
      <c r="F14" s="262" t="s">
        <v>85</v>
      </c>
      <c r="G14" s="263" t="s">
        <v>574</v>
      </c>
      <c r="H14" s="51">
        <v>0</v>
      </c>
      <c r="I14" s="57"/>
      <c r="J14" s="130"/>
      <c r="K14" s="130"/>
      <c r="L14" s="130"/>
      <c r="M14" s="130"/>
      <c r="N14" s="130"/>
      <c r="O14" s="332" t="s">
        <v>653</v>
      </c>
      <c r="R14" s="207" t="s">
        <v>566</v>
      </c>
      <c r="S14" s="207" t="s">
        <v>567</v>
      </c>
      <c r="T14" s="207" t="s">
        <v>568</v>
      </c>
      <c r="U14" s="207" t="s">
        <v>569</v>
      </c>
      <c r="V14" s="207" t="s">
        <v>549</v>
      </c>
      <c r="W14" s="207" t="s">
        <v>570</v>
      </c>
      <c r="X14" s="207" t="s">
        <v>571</v>
      </c>
      <c r="Y14" s="207" t="s">
        <v>572</v>
      </c>
      <c r="Z14" s="207" t="s">
        <v>573</v>
      </c>
      <c r="AA14" s="207" t="s">
        <v>574</v>
      </c>
      <c r="AB14" s="207" t="s">
        <v>575</v>
      </c>
      <c r="AC14" s="207" t="s">
        <v>576</v>
      </c>
    </row>
    <row r="15" spans="2:56" ht="19.5" customHeight="1">
      <c r="B15" s="130"/>
      <c r="C15" s="343" t="s">
        <v>388</v>
      </c>
      <c r="D15" s="343"/>
      <c r="E15" s="89" t="s">
        <v>452</v>
      </c>
      <c r="F15" s="262" t="s">
        <v>71</v>
      </c>
      <c r="G15" s="263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657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496</v>
      </c>
      <c r="AI15" s="260" t="s">
        <v>551</v>
      </c>
      <c r="AJ15" s="260" t="s">
        <v>552</v>
      </c>
      <c r="AK15" s="260" t="s">
        <v>553</v>
      </c>
      <c r="AL15" s="260" t="s">
        <v>554</v>
      </c>
      <c r="AM15" s="260" t="s">
        <v>555</v>
      </c>
      <c r="AN15" s="260" t="s">
        <v>556</v>
      </c>
      <c r="AO15" s="260" t="s">
        <v>557</v>
      </c>
      <c r="AP15" s="260" t="s">
        <v>558</v>
      </c>
      <c r="AQ15" s="260" t="s">
        <v>559</v>
      </c>
      <c r="AR15" s="260" t="s">
        <v>560</v>
      </c>
      <c r="AS15" s="260" t="s">
        <v>561</v>
      </c>
      <c r="AT15" s="260" t="s">
        <v>562</v>
      </c>
      <c r="AU15" s="260" t="s">
        <v>563</v>
      </c>
      <c r="AV15" s="260" t="s">
        <v>564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2"/>
      <c r="D16" s="173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520</v>
      </c>
      <c r="C17" s="175"/>
      <c r="D17" s="173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>
      <c r="B18" s="130"/>
      <c r="C18" s="56" t="s">
        <v>526</v>
      </c>
      <c r="D18" s="130"/>
      <c r="E18" s="130"/>
      <c r="F18" s="49">
        <v>1</v>
      </c>
      <c r="H18" s="130"/>
      <c r="I18" s="171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521</v>
      </c>
      <c r="D20" s="178" t="s">
        <v>516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528</v>
      </c>
      <c r="D21" s="153" t="s">
        <v>518</v>
      </c>
      <c r="E21" s="281">
        <v>1</v>
      </c>
      <c r="F21" s="281">
        <v>0.4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539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6" t="s">
        <v>657</v>
      </c>
      <c r="F23" s="156" t="s">
        <v>657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3" t="s">
        <v>142</v>
      </c>
      <c r="Q23" s="209"/>
      <c r="R23" s="67" t="s">
        <v>139</v>
      </c>
      <c r="S23" s="67" t="s">
        <v>505</v>
      </c>
      <c r="T23" s="288" t="str">
        <f>O15</f>
        <v>Meteomedia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523</v>
      </c>
      <c r="D24" s="186"/>
      <c r="E24" s="341" t="s">
        <v>664</v>
      </c>
      <c r="F24" s="156" t="s">
        <v>658</v>
      </c>
      <c r="G24" s="156"/>
      <c r="H24" s="156"/>
      <c r="I24" s="156"/>
      <c r="J24" s="156"/>
      <c r="K24" s="156"/>
      <c r="L24" s="156"/>
      <c r="M24" s="156"/>
      <c r="N24" s="156"/>
      <c r="O24" s="183" t="s">
        <v>524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517</v>
      </c>
      <c r="D25" s="186"/>
      <c r="E25" s="160">
        <v>198329</v>
      </c>
      <c r="F25" s="160">
        <v>109240</v>
      </c>
      <c r="G25" s="160"/>
      <c r="H25" s="160"/>
      <c r="I25" s="160"/>
      <c r="J25" s="160"/>
      <c r="K25" s="160"/>
      <c r="L25" s="160"/>
      <c r="M25" s="160"/>
      <c r="N25" s="160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3" t="s">
        <v>142</v>
      </c>
      <c r="Q26" s="209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1</v>
      </c>
      <c r="H28" s="130"/>
      <c r="I28" s="171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0</v>
      </c>
      <c r="G29" s="176">
        <f t="shared" si="2"/>
        <v>0</v>
      </c>
      <c r="H29" s="176">
        <f t="shared" si="2"/>
        <v>0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529</v>
      </c>
      <c r="D31" s="184" t="s">
        <v>254</v>
      </c>
      <c r="E31" s="279">
        <v>1</v>
      </c>
      <c r="F31" s="279">
        <f>ROUND(F32/$D$32,4)</f>
        <v>0.5</v>
      </c>
      <c r="G31" s="279">
        <f t="shared" ref="G31:N31" si="3">ROUND(G32/$D$32,4)</f>
        <v>0.25</v>
      </c>
      <c r="H31" s="279">
        <f t="shared" si="3"/>
        <v>0.125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535</v>
      </c>
      <c r="D32" s="285">
        <f>SUMPRODUCT(E32:N32,E29:N29)</f>
        <v>1</v>
      </c>
      <c r="E32" s="280">
        <v>1</v>
      </c>
      <c r="F32" s="280">
        <v>0.5</v>
      </c>
      <c r="G32" s="280">
        <v>0.25</v>
      </c>
      <c r="H32" s="280">
        <v>0.125</v>
      </c>
      <c r="I32" s="155"/>
      <c r="J32" s="155"/>
      <c r="K32" s="155"/>
      <c r="L32" s="155"/>
      <c r="M32" s="155"/>
      <c r="N32" s="155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3" t="s">
        <v>142</v>
      </c>
      <c r="Q34" s="209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3" t="s">
        <v>142</v>
      </c>
      <c r="Q35" s="209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3" t="s">
        <v>142</v>
      </c>
      <c r="Q36" s="209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533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534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527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531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532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537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538</v>
      </c>
      <c r="D46" s="199" t="s">
        <v>536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536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4" t="s">
        <v>581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1</v>
      </c>
      <c r="H52" s="130"/>
      <c r="I52" s="171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521</v>
      </c>
      <c r="D54" s="178" t="s">
        <v>516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528</v>
      </c>
      <c r="D55" s="153" t="s">
        <v>518</v>
      </c>
      <c r="E55" s="279">
        <v>1</v>
      </c>
      <c r="F55" s="279">
        <v>0.4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539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6" t="str">
        <f>E23</f>
        <v>Meteomedia</v>
      </c>
      <c r="F57" s="156" t="str">
        <f t="shared" ref="F57:N57" si="7">F23</f>
        <v>Meteomedia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523</v>
      </c>
      <c r="D58" s="186"/>
      <c r="E58" s="156" t="str">
        <f>E24</f>
        <v>Ellwangen-Rindelbach</v>
      </c>
      <c r="F58" s="156" t="str">
        <f t="shared" ref="F58:N58" si="8">F24</f>
        <v>Hohentwiel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3" t="s">
        <v>524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517</v>
      </c>
      <c r="D59" s="186"/>
      <c r="E59" s="160">
        <f>E25</f>
        <v>198329</v>
      </c>
      <c r="F59" s="160">
        <f t="shared" ref="F59:N59" si="9">F25</f>
        <v>109240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v>1</v>
      </c>
    </row>
    <row r="63" spans="2:28" ht="15" customHeight="1">
      <c r="E63" s="176">
        <f>IF(E64&gt;$F$62,0,1)</f>
        <v>1</v>
      </c>
      <c r="F63" s="176">
        <f t="shared" ref="F63:N63" si="11">IF(F64&gt;$F$62,0,1)</f>
        <v>0</v>
      </c>
      <c r="G63" s="176">
        <f t="shared" si="11"/>
        <v>0</v>
      </c>
      <c r="H63" s="176">
        <f t="shared" si="11"/>
        <v>0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30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529</v>
      </c>
      <c r="D65" s="184" t="s">
        <v>254</v>
      </c>
      <c r="E65" s="279">
        <f>1-SUMPRODUCT(F63:N63,F65:N65)</f>
        <v>1</v>
      </c>
      <c r="F65" s="279">
        <f>ROUND(F66/$D$66,4)</f>
        <v>0.5</v>
      </c>
      <c r="G65" s="279">
        <f t="shared" ref="G65:N65" si="12">ROUND(G66/$D$66,4)</f>
        <v>0.25</v>
      </c>
      <c r="H65" s="279">
        <f t="shared" si="12"/>
        <v>0.125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535</v>
      </c>
      <c r="D66" s="184">
        <f>SUMPRODUCT(E66:N66,E63:N63)</f>
        <v>1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3" t="s">
        <v>142</v>
      </c>
    </row>
    <row r="68" spans="2:15">
      <c r="B68" s="181"/>
      <c r="C68" s="185" t="s">
        <v>454</v>
      </c>
      <c r="D68" s="153" t="s">
        <v>453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3" t="s">
        <v>142</v>
      </c>
    </row>
    <row r="69" spans="2:15">
      <c r="B69" s="181"/>
      <c r="C69" s="185" t="s">
        <v>607</v>
      </c>
      <c r="D69" s="153" t="s">
        <v>608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3" t="s">
        <v>142</v>
      </c>
    </row>
    <row r="70" spans="2:15">
      <c r="B70" s="181"/>
      <c r="C70" s="190" t="s">
        <v>446</v>
      </c>
      <c r="D70" s="119" t="s">
        <v>540</v>
      </c>
      <c r="E70" s="163" t="s">
        <v>455</v>
      </c>
      <c r="F70" s="163" t="s">
        <v>456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3" t="s">
        <v>142</v>
      </c>
    </row>
    <row r="71" spans="2:15"/>
    <row r="72" spans="2:15" ht="15.75" customHeight="1">
      <c r="C72" s="344" t="s">
        <v>582</v>
      </c>
      <c r="D72" s="344"/>
      <c r="E72" s="344"/>
      <c r="F72" s="344"/>
    </row>
    <row r="73" spans="2:15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F26:N26 E56:N60 I22:N22 F52 G24:N24 G70:N70 E33:N34 E69:N69 G25:N25 E32 I32:N32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546</v>
      </c>
    </row>
    <row r="3" spans="2:56" ht="15" customHeight="1">
      <c r="B3" s="170"/>
    </row>
    <row r="4" spans="2:56">
      <c r="B4" s="130"/>
      <c r="C4" s="56" t="s">
        <v>448</v>
      </c>
      <c r="D4" s="57"/>
      <c r="E4" s="330" t="str">
        <f>Netzbetreiber!$D$9</f>
        <v>GEO Oberkochen</v>
      </c>
      <c r="F4" s="130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Netzbetreiber!$D$28</f>
        <v>Angaben gelten für alle Netzgebiete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29" t="str">
        <f>Netzbetreiber!$D$11</f>
        <v>9870027200003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Netzbetreiber!$D$6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1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2</v>
      </c>
      <c r="G10" s="57"/>
      <c r="H10" s="171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3">
        <f>INDEX('SLP-Verfahren'!D48:D62,'SLP-Temp-Gebiet #02'!F10)</f>
        <v>0</v>
      </c>
      <c r="G11" s="333"/>
      <c r="H11" s="289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2" t="s">
        <v>586</v>
      </c>
      <c r="D13" s="342"/>
      <c r="E13" s="342"/>
      <c r="F13" s="181" t="s">
        <v>550</v>
      </c>
      <c r="G13" s="130" t="s">
        <v>548</v>
      </c>
      <c r="H13" s="261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3" t="s">
        <v>451</v>
      </c>
      <c r="D14" s="343"/>
      <c r="E14" s="89" t="s">
        <v>452</v>
      </c>
      <c r="F14" s="262" t="s">
        <v>85</v>
      </c>
      <c r="G14" s="263" t="s">
        <v>574</v>
      </c>
      <c r="H14" s="51">
        <v>0</v>
      </c>
      <c r="I14" s="57"/>
      <c r="J14" s="130"/>
      <c r="K14" s="130"/>
      <c r="L14" s="130"/>
      <c r="M14" s="130"/>
      <c r="N14" s="130"/>
      <c r="O14" s="332" t="s">
        <v>653</v>
      </c>
      <c r="R14" s="207" t="s">
        <v>566</v>
      </c>
      <c r="S14" s="207" t="s">
        <v>567</v>
      </c>
      <c r="T14" s="207" t="s">
        <v>568</v>
      </c>
      <c r="U14" s="207" t="s">
        <v>569</v>
      </c>
      <c r="V14" s="207" t="s">
        <v>549</v>
      </c>
      <c r="W14" s="207" t="s">
        <v>570</v>
      </c>
      <c r="X14" s="207" t="s">
        <v>571</v>
      </c>
      <c r="Y14" s="207" t="s">
        <v>572</v>
      </c>
      <c r="Z14" s="207" t="s">
        <v>573</v>
      </c>
      <c r="AA14" s="207" t="s">
        <v>574</v>
      </c>
      <c r="AB14" s="207" t="s">
        <v>575</v>
      </c>
      <c r="AC14" s="207" t="s">
        <v>576</v>
      </c>
    </row>
    <row r="15" spans="2:56" ht="19.5" customHeight="1">
      <c r="B15" s="130"/>
      <c r="C15" s="343" t="s">
        <v>388</v>
      </c>
      <c r="D15" s="343"/>
      <c r="E15" s="89" t="s">
        <v>452</v>
      </c>
      <c r="F15" s="262" t="s">
        <v>71</v>
      </c>
      <c r="G15" s="263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530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496</v>
      </c>
      <c r="AI15" s="260" t="s">
        <v>551</v>
      </c>
      <c r="AJ15" s="260" t="s">
        <v>552</v>
      </c>
      <c r="AK15" s="260" t="s">
        <v>553</v>
      </c>
      <c r="AL15" s="260" t="s">
        <v>554</v>
      </c>
      <c r="AM15" s="260" t="s">
        <v>555</v>
      </c>
      <c r="AN15" s="260" t="s">
        <v>556</v>
      </c>
      <c r="AO15" s="260" t="s">
        <v>557</v>
      </c>
      <c r="AP15" s="260" t="s">
        <v>558</v>
      </c>
      <c r="AQ15" s="260" t="s">
        <v>559</v>
      </c>
      <c r="AR15" s="260" t="s">
        <v>560</v>
      </c>
      <c r="AS15" s="260" t="s">
        <v>561</v>
      </c>
      <c r="AT15" s="260" t="s">
        <v>562</v>
      </c>
      <c r="AU15" s="260" t="s">
        <v>563</v>
      </c>
      <c r="AV15" s="260" t="s">
        <v>564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30"/>
      <c r="C16" s="172"/>
      <c r="D16" s="290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8"/>
      <c r="S16" s="208"/>
    </row>
    <row r="17" spans="2:28" ht="19.5" customHeight="1">
      <c r="B17" s="174" t="s">
        <v>520</v>
      </c>
      <c r="C17" s="175"/>
      <c r="D17" s="29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8"/>
      <c r="S17" s="208"/>
    </row>
    <row r="18" spans="2:28">
      <c r="B18" s="130"/>
      <c r="C18" s="56" t="s">
        <v>526</v>
      </c>
      <c r="D18" s="130"/>
      <c r="E18" s="130"/>
      <c r="F18" s="49">
        <v>2</v>
      </c>
      <c r="H18" s="130"/>
      <c r="I18" s="171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30"/>
    </row>
    <row r="20" spans="2:28" ht="33.75" customHeight="1">
      <c r="B20" s="130"/>
      <c r="C20" s="177" t="s">
        <v>521</v>
      </c>
      <c r="D20" s="178" t="s">
        <v>516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528</v>
      </c>
      <c r="D21" s="153" t="s">
        <v>518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539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3" t="s">
        <v>142</v>
      </c>
      <c r="Q23" s="209"/>
      <c r="R23" s="67" t="s">
        <v>139</v>
      </c>
      <c r="S23" s="67" t="s">
        <v>505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523</v>
      </c>
      <c r="D24" s="186"/>
      <c r="E24" s="156" t="s">
        <v>583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3" t="s">
        <v>524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517</v>
      </c>
      <c r="D25" s="186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3" t="s">
        <v>142</v>
      </c>
      <c r="Q26" s="209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1"/>
      <c r="J28" s="130"/>
      <c r="K28" s="130"/>
      <c r="L28" s="130"/>
      <c r="M28" s="130"/>
      <c r="N28" s="130"/>
      <c r="O28" s="130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529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535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5"/>
      <c r="J32" s="155"/>
      <c r="K32" s="155"/>
      <c r="L32" s="155"/>
      <c r="M32" s="155"/>
      <c r="N32" s="155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3" t="s">
        <v>142</v>
      </c>
      <c r="Q34" s="209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3" t="s">
        <v>142</v>
      </c>
      <c r="Q35" s="209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3" t="s">
        <v>142</v>
      </c>
      <c r="Q36" s="209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533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534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527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531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532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537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538</v>
      </c>
      <c r="D46" s="199" t="s">
        <v>536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536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4" t="s">
        <v>581</v>
      </c>
      <c r="C50" s="175"/>
      <c r="D50" s="175"/>
      <c r="E50" s="175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1"/>
      <c r="D51" s="191"/>
      <c r="E51" s="191"/>
      <c r="F51" s="191"/>
      <c r="G51" s="191"/>
      <c r="H51" s="191"/>
      <c r="I51" s="206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2</v>
      </c>
      <c r="H52" s="130"/>
      <c r="I52" s="171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30"/>
    </row>
    <row r="54" spans="2:28" ht="33.75" customHeight="1">
      <c r="B54" s="130"/>
      <c r="C54" s="177" t="s">
        <v>521</v>
      </c>
      <c r="D54" s="178" t="s">
        <v>516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528</v>
      </c>
      <c r="D55" s="153" t="s">
        <v>518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539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523</v>
      </c>
      <c r="D58" s="186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3" t="s">
        <v>524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517</v>
      </c>
      <c r="D59" s="186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30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529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535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3" t="s">
        <v>142</v>
      </c>
    </row>
    <row r="68" spans="2:15">
      <c r="B68" s="181"/>
      <c r="C68" s="185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3" t="s">
        <v>142</v>
      </c>
    </row>
    <row r="69" spans="2:15">
      <c r="B69" s="181"/>
      <c r="C69" s="185" t="s">
        <v>607</v>
      </c>
      <c r="D69" s="153" t="s">
        <v>608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3" t="s">
        <v>142</v>
      </c>
    </row>
    <row r="70" spans="2:15">
      <c r="B70" s="181"/>
      <c r="C70" s="190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3" t="s">
        <v>142</v>
      </c>
    </row>
    <row r="71" spans="2:15"/>
    <row r="72" spans="2:15" ht="15.75" customHeight="1">
      <c r="C72" s="344" t="s">
        <v>582</v>
      </c>
      <c r="D72" s="344"/>
      <c r="E72" s="344"/>
      <c r="F72" s="344"/>
    </row>
    <row r="73" spans="2:15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E13" sqref="E13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GEO Oberkochen</v>
      </c>
      <c r="E5" s="130"/>
      <c r="J5" s="88" t="s">
        <v>500</v>
      </c>
      <c r="K5" s="131" t="s">
        <v>503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Angaben gelten für alle Netzgebiete</v>
      </c>
      <c r="E6" s="130"/>
      <c r="F6" s="130"/>
      <c r="K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490</v>
      </c>
      <c r="D7" s="54" t="str">
        <f>Netzbetreiber!$D$11</f>
        <v>9870027200003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42278</v>
      </c>
      <c r="E8" s="130"/>
      <c r="F8" s="130"/>
      <c r="H8" s="128" t="s">
        <v>498</v>
      </c>
      <c r="J8" s="132">
        <f>COUNTA(D12:D100)</f>
        <v>15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248</v>
      </c>
      <c r="C10" s="135" t="s">
        <v>497</v>
      </c>
      <c r="D10" s="134" t="s">
        <v>147</v>
      </c>
      <c r="E10" s="272" t="s">
        <v>513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637</v>
      </c>
      <c r="M10" s="150" t="s">
        <v>646</v>
      </c>
      <c r="N10" s="151" t="s">
        <v>647</v>
      </c>
      <c r="O10" s="151" t="s">
        <v>648</v>
      </c>
      <c r="P10" s="152" t="s">
        <v>649</v>
      </c>
      <c r="Q10" s="146" t="s">
        <v>638</v>
      </c>
      <c r="R10" s="136" t="s">
        <v>639</v>
      </c>
      <c r="S10" s="137" t="s">
        <v>640</v>
      </c>
      <c r="T10" s="137" t="s">
        <v>641</v>
      </c>
      <c r="U10" s="137" t="s">
        <v>642</v>
      </c>
      <c r="V10" s="137" t="s">
        <v>643</v>
      </c>
      <c r="W10" s="137" t="s">
        <v>644</v>
      </c>
      <c r="X10" s="138" t="s">
        <v>645</v>
      </c>
      <c r="Y10" s="294" t="s">
        <v>650</v>
      </c>
    </row>
    <row r="11" spans="2:26" ht="15.75" thickBot="1">
      <c r="B11" s="139" t="s">
        <v>499</v>
      </c>
      <c r="C11" s="140" t="s">
        <v>512</v>
      </c>
      <c r="D11" s="293" t="s">
        <v>247</v>
      </c>
      <c r="E11" s="340" t="s">
        <v>519</v>
      </c>
      <c r="F11" s="295" t="str">
        <f>VLOOKUP($E11,'BDEW-Standard'!$B$3:$M$158,F$9,0)</f>
        <v>OK4</v>
      </c>
      <c r="H11" s="166">
        <f>ROUND(VLOOKUP($E11,'BDEW-Standard'!$B$3:$M$158,H$9,0),7)</f>
        <v>1.4256683999999999</v>
      </c>
      <c r="I11" s="166">
        <f>ROUND(VLOOKUP($E11,'BDEW-Standard'!$B$3:$M$158,I$9,0),7)</f>
        <v>-36.659050399999998</v>
      </c>
      <c r="J11" s="166">
        <f>ROUND(VLOOKUP($E11,'BDEW-Standard'!$B$3:$M$158,J$9,0),7)</f>
        <v>7.6083226000000002</v>
      </c>
      <c r="K11" s="166">
        <f>ROUND(VLOOKUP($E11,'BDEW-Standard'!$B$3:$M$158,K$9,0),7)</f>
        <v>3.7111600000000002E-2</v>
      </c>
      <c r="L11" s="335">
        <f>ROUND(VLOOKUP($E11,'BDEW-Standard'!$B$3:$M$158,L$9,0),1)</f>
        <v>40</v>
      </c>
      <c r="M11" s="166">
        <f>ROUND(VLOOKUP($E11,'BDEW-Standard'!$B$3:$M$158,M$9,0),7)</f>
        <v>-8.0935900000000005E-2</v>
      </c>
      <c r="N11" s="166">
        <f>ROUND(VLOOKUP($E11,'BDEW-Standard'!$B$3:$M$158,N$9,0),7)</f>
        <v>1.2364527000000001</v>
      </c>
      <c r="O11" s="166">
        <f>ROUND(VLOOKUP($E11,'BDEW-Standard'!$B$3:$M$158,O$9,0),7)</f>
        <v>-7.628E-4</v>
      </c>
      <c r="P11" s="166">
        <f>ROUND(VLOOKUP($E11,'BDEW-Standard'!$B$3:$M$158,P$9,0),7)</f>
        <v>0.1002979</v>
      </c>
      <c r="Q11" s="336">
        <f>($H11/(1+($I11/($Q$9-$L11))^$J11)+$K11)+MAX($M11*$Q$9+$N11,$O11*$Q$9+$P11)</f>
        <v>0.99999996033498917</v>
      </c>
      <c r="R11" s="167">
        <f>ROUND(VLOOKUP(MID($E11,4,3),'Wochentag F(WT)'!$B$7:$J$22,R$9,0),4)</f>
        <v>1.0354000000000001</v>
      </c>
      <c r="S11" s="167">
        <f>ROUND(VLOOKUP(MID($E11,4,3),'Wochentag F(WT)'!$B$7:$J$22,S$9,0),4)</f>
        <v>1.0523</v>
      </c>
      <c r="T11" s="167">
        <f>ROUND(VLOOKUP(MID($E11,4,3),'Wochentag F(WT)'!$B$7:$J$22,T$9,0),4)</f>
        <v>1.0448999999999999</v>
      </c>
      <c r="U11" s="167">
        <f>ROUND(VLOOKUP(MID($E11,4,3),'Wochentag F(WT)'!$B$7:$J$22,U$9,0),4)</f>
        <v>1.0494000000000001</v>
      </c>
      <c r="V11" s="167">
        <f>ROUND(VLOOKUP(MID($E11,4,3),'Wochentag F(WT)'!$B$7:$J$22,V$9,0),4)</f>
        <v>0.98850000000000005</v>
      </c>
      <c r="W11" s="167">
        <f>ROUND(VLOOKUP(MID($E11,4,3),'Wochentag F(WT)'!$B$7:$J$22,W$9,0),4)</f>
        <v>0.88600000000000001</v>
      </c>
      <c r="X11" s="168">
        <f>7-SUM(R11:W11)</f>
        <v>0.94349999999999934</v>
      </c>
      <c r="Y11" s="291">
        <v>365.12299999999999</v>
      </c>
    </row>
    <row r="12" spans="2:26">
      <c r="B12" s="141">
        <v>1</v>
      </c>
      <c r="C12" s="142" t="str">
        <f t="shared" ref="C12:C41" si="0">$D$6</f>
        <v>Angaben gelten für alle Netzgebiete</v>
      </c>
      <c r="D12" s="62" t="s">
        <v>247</v>
      </c>
      <c r="E12" s="164" t="s">
        <v>38</v>
      </c>
      <c r="F12" s="296" t="str">
        <f>VLOOKUP($E12,'BDEW-Standard'!$B$3:$M$158,F$9,0)</f>
        <v>W14</v>
      </c>
      <c r="H12" s="273">
        <f>ROUND(VLOOKUP($E12,'BDEW-Standard'!$B$3:$M$158,H$9,0),7)</f>
        <v>3.1764404000000002</v>
      </c>
      <c r="I12" s="273">
        <f>ROUND(VLOOKUP($E12,'BDEW-Standard'!$B$3:$M$158,I$9,0),7)</f>
        <v>-37.410583199999998</v>
      </c>
      <c r="J12" s="273">
        <f>ROUND(VLOOKUP($E12,'BDEW-Standard'!$B$3:$M$158,J$9,0),7)</f>
        <v>6.1622336000000004</v>
      </c>
      <c r="K12" s="273">
        <f>ROUND(VLOOKUP($E12,'BDEW-Standard'!$B$3:$M$158,K$9,0),7)</f>
        <v>7.5937699999999997E-2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6" si="1">($H12/(1+($I12/($Q$9-$L12))^$J12)+$K12)+MAX($M12*$Q$9+$N12,$O12*$Q$9+$P12)</f>
        <v>0.95374033288062621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 t="shared" ref="X12:X26" si="2">7-SUM(R12:W12)</f>
        <v>1</v>
      </c>
      <c r="Y12" s="292"/>
      <c r="Z12" s="210"/>
    </row>
    <row r="13" spans="2:26" s="143" customFormat="1">
      <c r="B13" s="144">
        <v>2</v>
      </c>
      <c r="C13" s="145" t="str">
        <f t="shared" si="0"/>
        <v>Angaben gelten für alle Netzgebiete</v>
      </c>
      <c r="D13" s="62" t="s">
        <v>247</v>
      </c>
      <c r="E13" s="164" t="s">
        <v>46</v>
      </c>
      <c r="F13" s="296" t="str">
        <f>VLOOKUP($E13,'BDEW-Standard'!$B$3:$M$158,F$9,0)</f>
        <v>W24</v>
      </c>
      <c r="H13" s="273">
        <f>ROUND(VLOOKUP($E13,'BDEW-Standard'!$B$3:$M$158,H$9,0),7)</f>
        <v>2.5078170000000002</v>
      </c>
      <c r="I13" s="273">
        <f>ROUND(VLOOKUP($E13,'BDEW-Standard'!$B$3:$M$158,I$9,0),7)</f>
        <v>-35.036736300000001</v>
      </c>
      <c r="J13" s="273">
        <f>ROUND(VLOOKUP($E13,'BDEW-Standard'!$B$3:$M$158,J$9,0),7)</f>
        <v>6.2430158999999996</v>
      </c>
      <c r="K13" s="273">
        <f>ROUND(VLOOKUP($E13,'BDEW-Standard'!$B$3:$M$158,K$9,0),7)</f>
        <v>0.1025195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1.0107516326442527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si="2"/>
        <v>1</v>
      </c>
      <c r="Y13" s="292"/>
      <c r="Z13" s="210"/>
    </row>
    <row r="14" spans="2:26" s="143" customFormat="1">
      <c r="B14" s="144">
        <v>3</v>
      </c>
      <c r="C14" s="145" t="str">
        <f t="shared" si="0"/>
        <v>Angaben gelten für alle Netzgebiete</v>
      </c>
      <c r="D14" s="62" t="s">
        <v>247</v>
      </c>
      <c r="E14" s="164" t="s">
        <v>665</v>
      </c>
      <c r="F14" s="296" t="str">
        <f>VLOOKUP($E14,'BDEW-Standard'!$B$3:$M$158,F$9,0)</f>
        <v>BA4</v>
      </c>
      <c r="H14" s="273">
        <f>ROUND(VLOOKUP($E14,'BDEW-Standard'!$B$3:$M$158,H$9,0),7)</f>
        <v>0.93158890000000005</v>
      </c>
      <c r="I14" s="273">
        <f>ROUND(VLOOKUP($E14,'BDEW-Standard'!$B$3:$M$158,I$9,0),7)</f>
        <v>-33.35</v>
      </c>
      <c r="J14" s="273">
        <f>ROUND(VLOOKUP($E14,'BDEW-Standard'!$B$3:$M$158,J$9,0),7)</f>
        <v>5.7212303000000002</v>
      </c>
      <c r="K14" s="273">
        <f>ROUND(VLOOKUP($E14,'BDEW-Standard'!$B$3:$M$158,K$9,0),7)</f>
        <v>0.66564939999999995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1.0766391850538448</v>
      </c>
      <c r="R14" s="274">
        <f>ROUND(VLOOKUP(MID($E14,4,3),'Wochentag F(WT)'!$B$7:$J$22,R$9,0),4)</f>
        <v>1.0848</v>
      </c>
      <c r="S14" s="274">
        <f>ROUND(VLOOKUP(MID($E14,4,3),'Wochentag F(WT)'!$B$7:$J$22,S$9,0),4)</f>
        <v>1.1211</v>
      </c>
      <c r="T14" s="274">
        <f>ROUND(VLOOKUP(MID($E14,4,3),'Wochentag F(WT)'!$B$7:$J$22,T$9,0),4)</f>
        <v>1.0769</v>
      </c>
      <c r="U14" s="274">
        <f>ROUND(VLOOKUP(MID($E14,4,3),'Wochentag F(WT)'!$B$7:$J$22,U$9,0),4)</f>
        <v>1.1353</v>
      </c>
      <c r="V14" s="274">
        <f>ROUND(VLOOKUP(MID($E14,4,3),'Wochentag F(WT)'!$B$7:$J$22,V$9,0),4)</f>
        <v>1.1402000000000001</v>
      </c>
      <c r="W14" s="274">
        <f>ROUND(VLOOKUP(MID($E14,4,3),'Wochentag F(WT)'!$B$7:$J$22,W$9,0),4)</f>
        <v>0.48520000000000002</v>
      </c>
      <c r="X14" s="275">
        <f t="shared" si="2"/>
        <v>0.95650000000000013</v>
      </c>
      <c r="Y14" s="292"/>
      <c r="Z14" s="210"/>
    </row>
    <row r="15" spans="2:26" s="143" customFormat="1">
      <c r="B15" s="144">
        <v>4</v>
      </c>
      <c r="C15" s="145" t="str">
        <f t="shared" si="0"/>
        <v>Angaben gelten für alle Netzgebiete</v>
      </c>
      <c r="D15" s="62" t="s">
        <v>247</v>
      </c>
      <c r="E15" s="165" t="s">
        <v>666</v>
      </c>
      <c r="F15" s="296" t="str">
        <f>VLOOKUP($E15,'BDEW-Standard'!$B$3:$M$158,F$9,0)</f>
        <v>BD4</v>
      </c>
      <c r="H15" s="273">
        <f>ROUND(VLOOKUP($E15,'BDEW-Standard'!$B$3:$M$158,H$9,0),7)</f>
        <v>3.75</v>
      </c>
      <c r="I15" s="273">
        <f>ROUND(VLOOKUP($E15,'BDEW-Standard'!$B$3:$M$158,I$9,0),7)</f>
        <v>-37.5</v>
      </c>
      <c r="J15" s="273">
        <f>ROUND(VLOOKUP($E15,'BDEW-Standard'!$B$3:$M$158,J$9,0),7)</f>
        <v>6.8</v>
      </c>
      <c r="K15" s="273">
        <f>ROUND(VLOOKUP($E15,'BDEW-Standard'!$B$3:$M$158,K$9,0),7)</f>
        <v>6.0911300000000002E-2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1.0126136468627658</v>
      </c>
      <c r="R15" s="274">
        <f>ROUND(VLOOKUP(MID($E15,4,3),'Wochentag F(WT)'!$B$7:$J$22,R$9,0),4)</f>
        <v>1.1052</v>
      </c>
      <c r="S15" s="274">
        <f>ROUND(VLOOKUP(MID($E15,4,3),'Wochentag F(WT)'!$B$7:$J$22,S$9,0),4)</f>
        <v>1.0857000000000001</v>
      </c>
      <c r="T15" s="274">
        <f>ROUND(VLOOKUP(MID($E15,4,3),'Wochentag F(WT)'!$B$7:$J$22,T$9,0),4)</f>
        <v>1.0378000000000001</v>
      </c>
      <c r="U15" s="274">
        <f>ROUND(VLOOKUP(MID($E15,4,3),'Wochentag F(WT)'!$B$7:$J$22,U$9,0),4)</f>
        <v>1.0622</v>
      </c>
      <c r="V15" s="274">
        <f>ROUND(VLOOKUP(MID($E15,4,3),'Wochentag F(WT)'!$B$7:$J$22,V$9,0),4)</f>
        <v>1.0266</v>
      </c>
      <c r="W15" s="274">
        <f>ROUND(VLOOKUP(MID($E15,4,3),'Wochentag F(WT)'!$B$7:$J$22,W$9,0),4)</f>
        <v>0.76290000000000002</v>
      </c>
      <c r="X15" s="275">
        <f t="shared" si="2"/>
        <v>0.91959999999999997</v>
      </c>
      <c r="Y15" s="292"/>
      <c r="Z15" s="210"/>
    </row>
    <row r="16" spans="2:26" s="143" customFormat="1">
      <c r="B16" s="144">
        <v>5</v>
      </c>
      <c r="C16" s="145" t="str">
        <f t="shared" si="0"/>
        <v>Angaben gelten für alle Netzgebiete</v>
      </c>
      <c r="D16" s="62" t="s">
        <v>247</v>
      </c>
      <c r="E16" s="164" t="s">
        <v>667</v>
      </c>
      <c r="F16" s="296" t="str">
        <f>VLOOKUP($E16,'BDEW-Standard'!$B$3:$M$158,F$9,0)</f>
        <v>BH4</v>
      </c>
      <c r="H16" s="273">
        <f>ROUND(VLOOKUP($E16,'BDEW-Standard'!$B$3:$M$158,H$9,0),7)</f>
        <v>2.4595180999999999</v>
      </c>
      <c r="I16" s="273">
        <f>ROUND(VLOOKUP($E16,'BDEW-Standard'!$B$3:$M$158,I$9,0),7)</f>
        <v>-35.253212400000002</v>
      </c>
      <c r="J16" s="273">
        <f>ROUND(VLOOKUP($E16,'BDEW-Standard'!$B$3:$M$158,J$9,0),7)</f>
        <v>6.0587001000000003</v>
      </c>
      <c r="K16" s="273">
        <f>ROUND(VLOOKUP($E16,'BDEW-Standard'!$B$3:$M$158,K$9,0),7)</f>
        <v>0.16473699999999999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1.043802057143173</v>
      </c>
      <c r="R16" s="274">
        <f>ROUND(VLOOKUP(MID($E16,4,3),'Wochentag F(WT)'!$B$7:$J$22,R$9,0),4)</f>
        <v>0.97670000000000001</v>
      </c>
      <c r="S16" s="274">
        <f>ROUND(VLOOKUP(MID($E16,4,3),'Wochentag F(WT)'!$B$7:$J$22,S$9,0),4)</f>
        <v>1.0388999999999999</v>
      </c>
      <c r="T16" s="274">
        <f>ROUND(VLOOKUP(MID($E16,4,3),'Wochentag F(WT)'!$B$7:$J$22,T$9,0),4)</f>
        <v>1.0027999999999999</v>
      </c>
      <c r="U16" s="274">
        <f>ROUND(VLOOKUP(MID($E16,4,3),'Wochentag F(WT)'!$B$7:$J$22,U$9,0),4)</f>
        <v>1.0162</v>
      </c>
      <c r="V16" s="274">
        <f>ROUND(VLOOKUP(MID($E16,4,3),'Wochentag F(WT)'!$B$7:$J$22,V$9,0),4)</f>
        <v>1.0024</v>
      </c>
      <c r="W16" s="274">
        <f>ROUND(VLOOKUP(MID($E16,4,3),'Wochentag F(WT)'!$B$7:$J$22,W$9,0),4)</f>
        <v>1.0043</v>
      </c>
      <c r="X16" s="275">
        <f t="shared" si="2"/>
        <v>0.95870000000000122</v>
      </c>
      <c r="Y16" s="292"/>
      <c r="Z16" s="210"/>
    </row>
    <row r="17" spans="2:26" s="143" customFormat="1">
      <c r="B17" s="144">
        <v>6</v>
      </c>
      <c r="C17" s="145" t="str">
        <f t="shared" si="0"/>
        <v>Angaben gelten für alle Netzgebiete</v>
      </c>
      <c r="D17" s="62" t="s">
        <v>247</v>
      </c>
      <c r="E17" s="164" t="s">
        <v>668</v>
      </c>
      <c r="F17" s="296" t="str">
        <f>VLOOKUP($E17,'BDEW-Standard'!$B$3:$M$158,F$9,0)</f>
        <v>GA4</v>
      </c>
      <c r="H17" s="273">
        <f>ROUND(VLOOKUP($E17,'BDEW-Standard'!$B$3:$M$158,H$9,0),7)</f>
        <v>2.8195655999999998</v>
      </c>
      <c r="I17" s="273">
        <f>ROUND(VLOOKUP($E17,'BDEW-Standard'!$B$3:$M$158,I$9,0),7)</f>
        <v>-36</v>
      </c>
      <c r="J17" s="273">
        <f>ROUND(VLOOKUP($E17,'BDEW-Standard'!$B$3:$M$158,J$9,0),7)</f>
        <v>7.7368518000000002</v>
      </c>
      <c r="K17" s="273">
        <f>ROUND(VLOOKUP($E17,'BDEW-Standard'!$B$3:$M$158,K$9,0),7)</f>
        <v>0.157281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0.96576337685759206</v>
      </c>
      <c r="R17" s="274">
        <f>ROUND(VLOOKUP(MID($E17,4,3),'Wochentag F(WT)'!$B$7:$J$22,R$9,0),4)</f>
        <v>0.93220000000000003</v>
      </c>
      <c r="S17" s="274">
        <f>ROUND(VLOOKUP(MID($E17,4,3),'Wochentag F(WT)'!$B$7:$J$22,S$9,0),4)</f>
        <v>0.98939999999999995</v>
      </c>
      <c r="T17" s="274">
        <f>ROUND(VLOOKUP(MID($E17,4,3),'Wochentag F(WT)'!$B$7:$J$22,T$9,0),4)</f>
        <v>1.0033000000000001</v>
      </c>
      <c r="U17" s="274">
        <f>ROUND(VLOOKUP(MID($E17,4,3),'Wochentag F(WT)'!$B$7:$J$22,U$9,0),4)</f>
        <v>1.0108999999999999</v>
      </c>
      <c r="V17" s="274">
        <f>ROUND(VLOOKUP(MID($E17,4,3),'Wochentag F(WT)'!$B$7:$J$22,V$9,0),4)</f>
        <v>1.018</v>
      </c>
      <c r="W17" s="274">
        <f>ROUND(VLOOKUP(MID($E17,4,3),'Wochentag F(WT)'!$B$7:$J$22,W$9,0),4)</f>
        <v>1.0356000000000001</v>
      </c>
      <c r="X17" s="275">
        <f t="shared" si="2"/>
        <v>1.0106000000000002</v>
      </c>
      <c r="Y17" s="292"/>
      <c r="Z17" s="210"/>
    </row>
    <row r="18" spans="2:26" s="143" customFormat="1">
      <c r="B18" s="144">
        <v>7</v>
      </c>
      <c r="C18" s="145" t="str">
        <f t="shared" si="0"/>
        <v>Angaben gelten für alle Netzgebiete</v>
      </c>
      <c r="D18" s="62" t="s">
        <v>247</v>
      </c>
      <c r="E18" s="164" t="s">
        <v>669</v>
      </c>
      <c r="F18" s="296" t="str">
        <f>VLOOKUP($E18,'BDEW-Standard'!$B$3:$M$158,F$9,0)</f>
        <v>GB4</v>
      </c>
      <c r="H18" s="273">
        <f>ROUND(VLOOKUP($E18,'BDEW-Standard'!$B$3:$M$158,H$9,0),7)</f>
        <v>3.6017736</v>
      </c>
      <c r="I18" s="273">
        <f>ROUND(VLOOKUP($E18,'BDEW-Standard'!$B$3:$M$158,I$9,0),7)</f>
        <v>-37.882536799999997</v>
      </c>
      <c r="J18" s="273">
        <f>ROUND(VLOOKUP($E18,'BDEW-Standard'!$B$3:$M$158,J$9,0),7)</f>
        <v>6.9836070000000001</v>
      </c>
      <c r="K18" s="273">
        <f>ROUND(VLOOKUP($E18,'BDEW-Standard'!$B$3:$M$158,K$9,0),7)</f>
        <v>5.4826199999999999E-2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0.90239375975311864</v>
      </c>
      <c r="R18" s="274">
        <f>ROUND(VLOOKUP(MID($E18,4,3),'Wochentag F(WT)'!$B$7:$J$22,R$9,0),4)</f>
        <v>0.98970000000000002</v>
      </c>
      <c r="S18" s="274">
        <f>ROUND(VLOOKUP(MID($E18,4,3),'Wochentag F(WT)'!$B$7:$J$22,S$9,0),4)</f>
        <v>0.9627</v>
      </c>
      <c r="T18" s="274">
        <f>ROUND(VLOOKUP(MID($E18,4,3),'Wochentag F(WT)'!$B$7:$J$22,T$9,0),4)</f>
        <v>1.0507</v>
      </c>
      <c r="U18" s="274">
        <f>ROUND(VLOOKUP(MID($E18,4,3),'Wochentag F(WT)'!$B$7:$J$22,U$9,0),4)</f>
        <v>1.0551999999999999</v>
      </c>
      <c r="V18" s="274">
        <f>ROUND(VLOOKUP(MID($E18,4,3),'Wochentag F(WT)'!$B$7:$J$22,V$9,0),4)</f>
        <v>1.0297000000000001</v>
      </c>
      <c r="W18" s="274">
        <f>ROUND(VLOOKUP(MID($E18,4,3),'Wochentag F(WT)'!$B$7:$J$22,W$9,0),4)</f>
        <v>0.97670000000000001</v>
      </c>
      <c r="X18" s="275">
        <f t="shared" si="2"/>
        <v>0.9352999999999998</v>
      </c>
      <c r="Y18" s="292"/>
      <c r="Z18" s="210"/>
    </row>
    <row r="19" spans="2:26" s="143" customFormat="1">
      <c r="B19" s="144">
        <v>8</v>
      </c>
      <c r="C19" s="145" t="str">
        <f t="shared" si="0"/>
        <v>Angaben gelten für alle Netzgebiete</v>
      </c>
      <c r="D19" s="62" t="s">
        <v>247</v>
      </c>
      <c r="E19" s="164" t="s">
        <v>670</v>
      </c>
      <c r="F19" s="296" t="str">
        <f>VLOOKUP($E19,'BDEW-Standard'!$B$3:$M$158,F$9,0)</f>
        <v>HA4</v>
      </c>
      <c r="H19" s="273">
        <f>ROUND(VLOOKUP($E19,'BDEW-Standard'!$B$3:$M$158,H$9,0),7)</f>
        <v>4.0196902000000003</v>
      </c>
      <c r="I19" s="273">
        <f>ROUND(VLOOKUP($E19,'BDEW-Standard'!$B$3:$M$158,I$9,0),7)</f>
        <v>-37.828203700000003</v>
      </c>
      <c r="J19" s="273">
        <f>ROUND(VLOOKUP($E19,'BDEW-Standard'!$B$3:$M$158,J$9,0),7)</f>
        <v>8.1593368999999996</v>
      </c>
      <c r="K19" s="273">
        <f>ROUND(VLOOKUP($E19,'BDEW-Standard'!$B$3:$M$158,K$9,0),7)</f>
        <v>4.72845E-2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0.86486713303260787</v>
      </c>
      <c r="R19" s="274">
        <f>ROUND(VLOOKUP(MID($E19,4,3),'Wochentag F(WT)'!$B$7:$J$22,R$9,0),4)</f>
        <v>1.0358000000000001</v>
      </c>
      <c r="S19" s="274">
        <f>ROUND(VLOOKUP(MID($E19,4,3),'Wochentag F(WT)'!$B$7:$J$22,S$9,0),4)</f>
        <v>1.0232000000000001</v>
      </c>
      <c r="T19" s="274">
        <f>ROUND(VLOOKUP(MID($E19,4,3),'Wochentag F(WT)'!$B$7:$J$22,T$9,0),4)</f>
        <v>1.0251999999999999</v>
      </c>
      <c r="U19" s="274">
        <f>ROUND(VLOOKUP(MID($E19,4,3),'Wochentag F(WT)'!$B$7:$J$22,U$9,0),4)</f>
        <v>1.0295000000000001</v>
      </c>
      <c r="V19" s="274">
        <f>ROUND(VLOOKUP(MID($E19,4,3),'Wochentag F(WT)'!$B$7:$J$22,V$9,0),4)</f>
        <v>1.0253000000000001</v>
      </c>
      <c r="W19" s="274">
        <f>ROUND(VLOOKUP(MID($E19,4,3),'Wochentag F(WT)'!$B$7:$J$22,W$9,0),4)</f>
        <v>0.96750000000000003</v>
      </c>
      <c r="X19" s="275">
        <f t="shared" si="2"/>
        <v>0.89350000000000041</v>
      </c>
      <c r="Y19" s="292"/>
      <c r="Z19" s="210"/>
    </row>
    <row r="20" spans="2:26" s="143" customFormat="1">
      <c r="B20" s="144">
        <v>9</v>
      </c>
      <c r="C20" s="145" t="str">
        <f t="shared" si="0"/>
        <v>Angaben gelten für alle Netzgebiete</v>
      </c>
      <c r="D20" s="62" t="s">
        <v>247</v>
      </c>
      <c r="E20" s="164" t="s">
        <v>671</v>
      </c>
      <c r="F20" s="296" t="str">
        <f>VLOOKUP($E20,'BDEW-Standard'!$B$3:$M$158,F$9,0)</f>
        <v>HD4</v>
      </c>
      <c r="H20" s="273">
        <f>ROUND(VLOOKUP($E20,'BDEW-Standard'!$B$3:$M$158,H$9,0),7)</f>
        <v>3.0084346000000002</v>
      </c>
      <c r="I20" s="273">
        <f>ROUND(VLOOKUP($E20,'BDEW-Standard'!$B$3:$M$158,I$9,0),7)</f>
        <v>-36.607845300000001</v>
      </c>
      <c r="J20" s="273">
        <f>ROUND(VLOOKUP($E20,'BDEW-Standard'!$B$3:$M$158,J$9,0),7)</f>
        <v>7.3211870000000001</v>
      </c>
      <c r="K20" s="273">
        <f>ROUND(VLOOKUP($E20,'BDEW-Standard'!$B$3:$M$158,K$9,0),7)</f>
        <v>0.15496599999999999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0.97302438504000599</v>
      </c>
      <c r="R20" s="274">
        <f>ROUND(VLOOKUP(MID($E20,4,3),'Wochentag F(WT)'!$B$7:$J$22,R$9,0),4)</f>
        <v>1.03</v>
      </c>
      <c r="S20" s="274">
        <f>ROUND(VLOOKUP(MID($E20,4,3),'Wochentag F(WT)'!$B$7:$J$22,S$9,0),4)</f>
        <v>1.03</v>
      </c>
      <c r="T20" s="274">
        <f>ROUND(VLOOKUP(MID($E20,4,3),'Wochentag F(WT)'!$B$7:$J$22,T$9,0),4)</f>
        <v>1.02</v>
      </c>
      <c r="U20" s="274">
        <f>ROUND(VLOOKUP(MID($E20,4,3),'Wochentag F(WT)'!$B$7:$J$22,U$9,0),4)</f>
        <v>1.03</v>
      </c>
      <c r="V20" s="274">
        <f>ROUND(VLOOKUP(MID($E20,4,3),'Wochentag F(WT)'!$B$7:$J$22,V$9,0),4)</f>
        <v>1.01</v>
      </c>
      <c r="W20" s="274">
        <f>ROUND(VLOOKUP(MID($E20,4,3),'Wochentag F(WT)'!$B$7:$J$22,W$9,0),4)</f>
        <v>0.93</v>
      </c>
      <c r="X20" s="275">
        <f t="shared" si="2"/>
        <v>0.95000000000000018</v>
      </c>
      <c r="Y20" s="292"/>
      <c r="Z20" s="210"/>
    </row>
    <row r="21" spans="2:26" s="143" customFormat="1">
      <c r="B21" s="144">
        <v>10</v>
      </c>
      <c r="C21" s="145" t="str">
        <f t="shared" si="0"/>
        <v>Angaben gelten für alle Netzgebiete</v>
      </c>
      <c r="D21" s="62" t="s">
        <v>247</v>
      </c>
      <c r="E21" s="164" t="s">
        <v>672</v>
      </c>
      <c r="F21" s="296" t="str">
        <f>VLOOKUP($E21,'BDEW-Standard'!$B$3:$M$158,F$9,0)</f>
        <v>KO4</v>
      </c>
      <c r="H21" s="273">
        <f>ROUND(VLOOKUP($E21,'BDEW-Standard'!$B$3:$M$158,H$9,0),7)</f>
        <v>3.4428942999999999</v>
      </c>
      <c r="I21" s="273">
        <f>ROUND(VLOOKUP($E21,'BDEW-Standard'!$B$3:$M$158,I$9,0),7)</f>
        <v>-36.659050399999998</v>
      </c>
      <c r="J21" s="273">
        <f>ROUND(VLOOKUP($E21,'BDEW-Standard'!$B$3:$M$158,J$9,0),7)</f>
        <v>7.6083226000000002</v>
      </c>
      <c r="K21" s="273">
        <f>ROUND(VLOOKUP($E21,'BDEW-Standard'!$B$3:$M$158,K$9,0),7)</f>
        <v>7.4685000000000001E-2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0.97768382110526542</v>
      </c>
      <c r="R21" s="274">
        <f>ROUND(VLOOKUP(MID($E21,4,3),'Wochentag F(WT)'!$B$7:$J$22,R$9,0),4)</f>
        <v>1.0354000000000001</v>
      </c>
      <c r="S21" s="274">
        <f>ROUND(VLOOKUP(MID($E21,4,3),'Wochentag F(WT)'!$B$7:$J$22,S$9,0),4)</f>
        <v>1.0523</v>
      </c>
      <c r="T21" s="274">
        <f>ROUND(VLOOKUP(MID($E21,4,3),'Wochentag F(WT)'!$B$7:$J$22,T$9,0),4)</f>
        <v>1.0448999999999999</v>
      </c>
      <c r="U21" s="274">
        <f>ROUND(VLOOKUP(MID($E21,4,3),'Wochentag F(WT)'!$B$7:$J$22,U$9,0),4)</f>
        <v>1.0494000000000001</v>
      </c>
      <c r="V21" s="274">
        <f>ROUND(VLOOKUP(MID($E21,4,3),'Wochentag F(WT)'!$B$7:$J$22,V$9,0),4)</f>
        <v>0.98850000000000005</v>
      </c>
      <c r="W21" s="274">
        <f>ROUND(VLOOKUP(MID($E21,4,3),'Wochentag F(WT)'!$B$7:$J$22,W$9,0),4)</f>
        <v>0.88600000000000001</v>
      </c>
      <c r="X21" s="275">
        <f t="shared" si="2"/>
        <v>0.94349999999999934</v>
      </c>
      <c r="Y21" s="292"/>
      <c r="Z21" s="210"/>
    </row>
    <row r="22" spans="2:26" s="143" customFormat="1">
      <c r="B22" s="144">
        <v>11</v>
      </c>
      <c r="C22" s="145" t="str">
        <f t="shared" si="0"/>
        <v>Angaben gelten für alle Netzgebiete</v>
      </c>
      <c r="D22" s="62" t="s">
        <v>247</v>
      </c>
      <c r="E22" s="164" t="s">
        <v>673</v>
      </c>
      <c r="F22" s="296" t="str">
        <f>VLOOKUP($E22,'BDEW-Standard'!$B$3:$M$158,F$9,0)</f>
        <v>MF4</v>
      </c>
      <c r="H22" s="273">
        <f>ROUND(VLOOKUP($E22,'BDEW-Standard'!$B$3:$M$158,H$9,0),7)</f>
        <v>2.5187775000000001</v>
      </c>
      <c r="I22" s="273">
        <f>ROUND(VLOOKUP($E22,'BDEW-Standard'!$B$3:$M$158,I$9,0),7)</f>
        <v>-35.033375399999997</v>
      </c>
      <c r="J22" s="273">
        <f>ROUND(VLOOKUP($E22,'BDEW-Standard'!$B$3:$M$158,J$9,0),7)</f>
        <v>6.2240634000000004</v>
      </c>
      <c r="K22" s="273">
        <f>ROUND(VLOOKUP($E22,'BDEW-Standard'!$B$3:$M$158,K$9,0),7)</f>
        <v>0.10107820000000001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1.0146273685996503</v>
      </c>
      <c r="R22" s="274">
        <f>ROUND(VLOOKUP(MID($E22,4,3),'Wochentag F(WT)'!$B$7:$J$22,R$9,0),4)</f>
        <v>1.0354000000000001</v>
      </c>
      <c r="S22" s="274">
        <f>ROUND(VLOOKUP(MID($E22,4,3),'Wochentag F(WT)'!$B$7:$J$22,S$9,0),4)</f>
        <v>1.0523</v>
      </c>
      <c r="T22" s="274">
        <f>ROUND(VLOOKUP(MID($E22,4,3),'Wochentag F(WT)'!$B$7:$J$22,T$9,0),4)</f>
        <v>1.0448999999999999</v>
      </c>
      <c r="U22" s="274">
        <f>ROUND(VLOOKUP(MID($E22,4,3),'Wochentag F(WT)'!$B$7:$J$22,U$9,0),4)</f>
        <v>1.0494000000000001</v>
      </c>
      <c r="V22" s="274">
        <f>ROUND(VLOOKUP(MID($E22,4,3),'Wochentag F(WT)'!$B$7:$J$22,V$9,0),4)</f>
        <v>0.98850000000000005</v>
      </c>
      <c r="W22" s="274">
        <f>ROUND(VLOOKUP(MID($E22,4,3),'Wochentag F(WT)'!$B$7:$J$22,W$9,0),4)</f>
        <v>0.88600000000000001</v>
      </c>
      <c r="X22" s="275">
        <f t="shared" si="2"/>
        <v>0.94349999999999934</v>
      </c>
      <c r="Y22" s="292"/>
      <c r="Z22" s="210"/>
    </row>
    <row r="23" spans="2:26" s="143" customFormat="1">
      <c r="B23" s="144">
        <v>12</v>
      </c>
      <c r="C23" s="145" t="str">
        <f t="shared" si="0"/>
        <v>Angaben gelten für alle Netzgebiete</v>
      </c>
      <c r="D23" s="62" t="s">
        <v>247</v>
      </c>
      <c r="E23" s="164" t="s">
        <v>674</v>
      </c>
      <c r="F23" s="296" t="str">
        <f>VLOOKUP($E23,'BDEW-Standard'!$B$3:$M$158,F$9,0)</f>
        <v>MK4</v>
      </c>
      <c r="H23" s="273">
        <f>ROUND(VLOOKUP($E23,'BDEW-Standard'!$B$3:$M$158,H$9,0),7)</f>
        <v>3.1177248</v>
      </c>
      <c r="I23" s="273">
        <f>ROUND(VLOOKUP($E23,'BDEW-Standard'!$B$3:$M$158,I$9,0),7)</f>
        <v>-35.871506199999999</v>
      </c>
      <c r="J23" s="273">
        <f>ROUND(VLOOKUP($E23,'BDEW-Standard'!$B$3:$M$158,J$9,0),7)</f>
        <v>7.5186828999999999</v>
      </c>
      <c r="K23" s="273">
        <f>ROUND(VLOOKUP($E23,'BDEW-Standard'!$B$3:$M$158,K$9,0),7)</f>
        <v>3.4330100000000002E-2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1"/>
        <v>0.9622064996731321</v>
      </c>
      <c r="R23" s="274">
        <f>ROUND(VLOOKUP(MID($E23,4,3),'Wochentag F(WT)'!$B$7:$J$22,R$9,0),4)</f>
        <v>1.0699000000000001</v>
      </c>
      <c r="S23" s="274">
        <f>ROUND(VLOOKUP(MID($E23,4,3),'Wochentag F(WT)'!$B$7:$J$22,S$9,0),4)</f>
        <v>1.0365</v>
      </c>
      <c r="T23" s="274">
        <f>ROUND(VLOOKUP(MID($E23,4,3),'Wochentag F(WT)'!$B$7:$J$22,T$9,0),4)</f>
        <v>0.99329999999999996</v>
      </c>
      <c r="U23" s="274">
        <f>ROUND(VLOOKUP(MID($E23,4,3),'Wochentag F(WT)'!$B$7:$J$22,U$9,0),4)</f>
        <v>0.99480000000000002</v>
      </c>
      <c r="V23" s="274">
        <f>ROUND(VLOOKUP(MID($E23,4,3),'Wochentag F(WT)'!$B$7:$J$22,V$9,0),4)</f>
        <v>1.0659000000000001</v>
      </c>
      <c r="W23" s="274">
        <f>ROUND(VLOOKUP(MID($E23,4,3),'Wochentag F(WT)'!$B$7:$J$22,W$9,0),4)</f>
        <v>0.93620000000000003</v>
      </c>
      <c r="X23" s="275">
        <f t="shared" si="2"/>
        <v>0.90339999999999954</v>
      </c>
      <c r="Y23" s="292"/>
      <c r="Z23" s="210"/>
    </row>
    <row r="24" spans="2:26" s="143" customFormat="1">
      <c r="B24" s="144">
        <v>13</v>
      </c>
      <c r="C24" s="145" t="str">
        <f t="shared" si="0"/>
        <v>Angaben gelten für alle Netzgebiete</v>
      </c>
      <c r="D24" s="62" t="s">
        <v>247</v>
      </c>
      <c r="E24" s="164" t="s">
        <v>675</v>
      </c>
      <c r="F24" s="296" t="str">
        <f>VLOOKUP($E24,'BDEW-Standard'!$B$3:$M$158,F$9,0)</f>
        <v>PD4</v>
      </c>
      <c r="H24" s="273">
        <f>ROUND(VLOOKUP($E24,'BDEW-Standard'!$B$3:$M$158,H$9,0),7)</f>
        <v>3.85</v>
      </c>
      <c r="I24" s="273">
        <f>ROUND(VLOOKUP($E24,'BDEW-Standard'!$B$3:$M$158,I$9,0),7)</f>
        <v>-37</v>
      </c>
      <c r="J24" s="273">
        <f>ROUND(VLOOKUP($E24,'BDEW-Standard'!$B$3:$M$158,J$9,0),7)</f>
        <v>10.2405021</v>
      </c>
      <c r="K24" s="273">
        <f>ROUND(VLOOKUP($E24,'BDEW-Standard'!$B$3:$M$158,K$9,0),7)</f>
        <v>4.6924300000000002E-2</v>
      </c>
      <c r="L24" s="337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8">
        <f t="shared" si="1"/>
        <v>0.75691065279879233</v>
      </c>
      <c r="R24" s="274">
        <f>ROUND(VLOOKUP(MID($E24,4,3),'Wochentag F(WT)'!$B$7:$J$22,R$9,0),4)</f>
        <v>1.0214000000000001</v>
      </c>
      <c r="S24" s="274">
        <f>ROUND(VLOOKUP(MID($E24,4,3),'Wochentag F(WT)'!$B$7:$J$22,S$9,0),4)</f>
        <v>1.0866</v>
      </c>
      <c r="T24" s="274">
        <f>ROUND(VLOOKUP(MID($E24,4,3),'Wochentag F(WT)'!$B$7:$J$22,T$9,0),4)</f>
        <v>1.0720000000000001</v>
      </c>
      <c r="U24" s="274">
        <f>ROUND(VLOOKUP(MID($E24,4,3),'Wochentag F(WT)'!$B$7:$J$22,U$9,0),4)</f>
        <v>1.0557000000000001</v>
      </c>
      <c r="V24" s="274">
        <f>ROUND(VLOOKUP(MID($E24,4,3),'Wochentag F(WT)'!$B$7:$J$22,V$9,0),4)</f>
        <v>1.0117</v>
      </c>
      <c r="W24" s="274">
        <f>ROUND(VLOOKUP(MID($E24,4,3),'Wochentag F(WT)'!$B$7:$J$22,W$9,0),4)</f>
        <v>0.90010000000000001</v>
      </c>
      <c r="X24" s="275">
        <f t="shared" si="2"/>
        <v>0.85249999999999915</v>
      </c>
      <c r="Y24" s="292"/>
      <c r="Z24" s="210"/>
    </row>
    <row r="25" spans="2:26" s="143" customFormat="1">
      <c r="B25" s="144">
        <v>14</v>
      </c>
      <c r="C25" s="145" t="str">
        <f t="shared" si="0"/>
        <v>Angaben gelten für alle Netzgebiete</v>
      </c>
      <c r="D25" s="62" t="s">
        <v>247</v>
      </c>
      <c r="E25" s="164" t="s">
        <v>676</v>
      </c>
      <c r="F25" s="296" t="str">
        <f>VLOOKUP($E25,'BDEW-Standard'!$B$3:$M$158,F$9,0)</f>
        <v>WA4</v>
      </c>
      <c r="H25" s="273">
        <f>ROUND(VLOOKUP($E25,'BDEW-Standard'!$B$3:$M$158,H$9,0),7)</f>
        <v>1.0535874999999999</v>
      </c>
      <c r="I25" s="273">
        <f>ROUND(VLOOKUP($E25,'BDEW-Standard'!$B$3:$M$158,I$9,0),7)</f>
        <v>-35.299999999999997</v>
      </c>
      <c r="J25" s="273">
        <f>ROUND(VLOOKUP($E25,'BDEW-Standard'!$B$3:$M$158,J$9,0),7)</f>
        <v>4.8662747</v>
      </c>
      <c r="K25" s="273">
        <f>ROUND(VLOOKUP($E25,'BDEW-Standard'!$B$3:$M$158,K$9,0),7)</f>
        <v>0.68110420000000005</v>
      </c>
      <c r="L25" s="337">
        <f>ROUND(VLOOKUP($E25,'BDEW-Standard'!$B$3:$M$158,L$9,0),1)</f>
        <v>40</v>
      </c>
      <c r="M25" s="273">
        <f>ROUND(VLOOKUP($E25,'BDEW-Standard'!$B$3:$M$158,M$9,0),7)</f>
        <v>0</v>
      </c>
      <c r="N25" s="273">
        <f>ROUND(VLOOKUP($E25,'BDEW-Standard'!$B$3:$M$158,N$9,0),7)</f>
        <v>0</v>
      </c>
      <c r="O25" s="273">
        <f>ROUND(VLOOKUP($E25,'BDEW-Standard'!$B$3:$M$158,O$9,0),7)</f>
        <v>0</v>
      </c>
      <c r="P25" s="273">
        <f>ROUND(VLOOKUP($E25,'BDEW-Standard'!$B$3:$M$158,P$9,0),7)</f>
        <v>0</v>
      </c>
      <c r="Q25" s="338">
        <f t="shared" si="1"/>
        <v>1.0844348950990992</v>
      </c>
      <c r="R25" s="274">
        <f>ROUND(VLOOKUP(MID($E25,4,3),'Wochentag F(WT)'!$B$7:$J$22,R$9,0),4)</f>
        <v>1.2457</v>
      </c>
      <c r="S25" s="274">
        <f>ROUND(VLOOKUP(MID($E25,4,3),'Wochentag F(WT)'!$B$7:$J$22,S$9,0),4)</f>
        <v>1.2615000000000001</v>
      </c>
      <c r="T25" s="274">
        <f>ROUND(VLOOKUP(MID($E25,4,3),'Wochentag F(WT)'!$B$7:$J$22,T$9,0),4)</f>
        <v>1.2706999999999999</v>
      </c>
      <c r="U25" s="274">
        <f>ROUND(VLOOKUP(MID($E25,4,3),'Wochentag F(WT)'!$B$7:$J$22,U$9,0),4)</f>
        <v>1.2430000000000001</v>
      </c>
      <c r="V25" s="274">
        <f>ROUND(VLOOKUP(MID($E25,4,3),'Wochentag F(WT)'!$B$7:$J$22,V$9,0),4)</f>
        <v>1.1275999999999999</v>
      </c>
      <c r="W25" s="274">
        <f>ROUND(VLOOKUP(MID($E25,4,3),'Wochentag F(WT)'!$B$7:$J$22,W$9,0),4)</f>
        <v>0.38769999999999999</v>
      </c>
      <c r="X25" s="275">
        <f t="shared" si="2"/>
        <v>0.46379999999999999</v>
      </c>
      <c r="Y25" s="292"/>
      <c r="Z25" s="210"/>
    </row>
    <row r="26" spans="2:26" s="143" customFormat="1">
      <c r="B26" s="144">
        <v>15</v>
      </c>
      <c r="C26" s="145" t="str">
        <f t="shared" si="0"/>
        <v>Angaben gelten für alle Netzgebiete</v>
      </c>
      <c r="D26" s="62" t="s">
        <v>247</v>
      </c>
      <c r="E26" s="164" t="s">
        <v>4</v>
      </c>
      <c r="F26" s="296" t="str">
        <f>VLOOKUP($E26,'BDEW-Standard'!$B$3:$M$158,F$9,0)</f>
        <v>HK3</v>
      </c>
      <c r="H26" s="273">
        <f>ROUND(VLOOKUP($E26,'BDEW-Standard'!$B$3:$M$158,H$9,0),7)</f>
        <v>0.40409319999999999</v>
      </c>
      <c r="I26" s="273">
        <f>ROUND(VLOOKUP($E26,'BDEW-Standard'!$B$3:$M$158,I$9,0),7)</f>
        <v>-24.439296800000001</v>
      </c>
      <c r="J26" s="273">
        <f>ROUND(VLOOKUP($E26,'BDEW-Standard'!$B$3:$M$158,J$9,0),7)</f>
        <v>6.5718174999999999</v>
      </c>
      <c r="K26" s="273">
        <f>ROUND(VLOOKUP($E26,'BDEW-Standard'!$B$3:$M$158,K$9,0),7)</f>
        <v>0.71077100000000004</v>
      </c>
      <c r="L26" s="337">
        <f>ROUND(VLOOKUP($E26,'BDEW-Standard'!$B$3:$M$158,L$9,0),1)</f>
        <v>40</v>
      </c>
      <c r="M26" s="273">
        <f>ROUND(VLOOKUP($E26,'BDEW-Standard'!$B$3:$M$158,M$9,0),7)</f>
        <v>0</v>
      </c>
      <c r="N26" s="273">
        <f>ROUND(VLOOKUP($E26,'BDEW-Standard'!$B$3:$M$158,N$9,0),7)</f>
        <v>0</v>
      </c>
      <c r="O26" s="273">
        <f>ROUND(VLOOKUP($E26,'BDEW-Standard'!$B$3:$M$158,O$9,0),7)</f>
        <v>0</v>
      </c>
      <c r="P26" s="273">
        <f>ROUND(VLOOKUP($E26,'BDEW-Standard'!$B$3:$M$158,P$9,0),7)</f>
        <v>0</v>
      </c>
      <c r="Q26" s="338">
        <f t="shared" si="1"/>
        <v>1.0561214000512988</v>
      </c>
      <c r="R26" s="274">
        <f>ROUND(VLOOKUP(MID($E26,4,3),'Wochentag F(WT)'!$B$7:$J$22,R$9,0),4)</f>
        <v>1</v>
      </c>
      <c r="S26" s="274">
        <f>ROUND(VLOOKUP(MID($E26,4,3),'Wochentag F(WT)'!$B$7:$J$22,S$9,0),4)</f>
        <v>1</v>
      </c>
      <c r="T26" s="274">
        <f>ROUND(VLOOKUP(MID($E26,4,3),'Wochentag F(WT)'!$B$7:$J$22,T$9,0),4)</f>
        <v>1</v>
      </c>
      <c r="U26" s="274">
        <f>ROUND(VLOOKUP(MID($E26,4,3),'Wochentag F(WT)'!$B$7:$J$22,U$9,0),4)</f>
        <v>1</v>
      </c>
      <c r="V26" s="274">
        <f>ROUND(VLOOKUP(MID($E26,4,3),'Wochentag F(WT)'!$B$7:$J$22,V$9,0),4)</f>
        <v>1</v>
      </c>
      <c r="W26" s="274">
        <f>ROUND(VLOOKUP(MID($E26,4,3),'Wochentag F(WT)'!$B$7:$J$22,W$9,0),4)</f>
        <v>1</v>
      </c>
      <c r="X26" s="275">
        <f t="shared" si="2"/>
        <v>1</v>
      </c>
      <c r="Y26" s="292"/>
      <c r="Z26" s="210"/>
    </row>
    <row r="27" spans="2:26" s="143" customFormat="1">
      <c r="B27" s="144">
        <v>16</v>
      </c>
      <c r="C27" s="145" t="str">
        <f t="shared" si="0"/>
        <v>Angaben gelten für alle Netzgebiete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3" customFormat="1">
      <c r="B28" s="144">
        <v>17</v>
      </c>
      <c r="C28" s="145" t="str">
        <f t="shared" si="0"/>
        <v>Angaben gelten für alle Netzgebiete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3" customFormat="1">
      <c r="B29" s="144">
        <v>18</v>
      </c>
      <c r="C29" s="145" t="str">
        <f t="shared" si="0"/>
        <v>Angaben gelten für alle Netzgebiete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3" customFormat="1">
      <c r="B30" s="144">
        <v>19</v>
      </c>
      <c r="C30" s="145" t="str">
        <f t="shared" si="0"/>
        <v>Angaben gelten für alle Netzgebiete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3" customFormat="1">
      <c r="B31" s="144">
        <v>20</v>
      </c>
      <c r="C31" s="145" t="str">
        <f t="shared" si="0"/>
        <v>Angaben gelten für alle Netzgebiete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3" customFormat="1">
      <c r="B32" s="144">
        <v>21</v>
      </c>
      <c r="C32" s="145" t="str">
        <f t="shared" si="0"/>
        <v>Angaben gelten für alle Netzgebiete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3" customFormat="1">
      <c r="B33" s="144">
        <v>22</v>
      </c>
      <c r="C33" s="145" t="str">
        <f t="shared" si="0"/>
        <v>Angaben gelten für alle Netzgebiete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3" customFormat="1">
      <c r="B34" s="144">
        <v>23</v>
      </c>
      <c r="C34" s="145" t="str">
        <f t="shared" si="0"/>
        <v>Angaben gelten für alle Netzgebiete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3" customFormat="1">
      <c r="B35" s="144">
        <v>24</v>
      </c>
      <c r="C35" s="145" t="str">
        <f t="shared" si="0"/>
        <v>Angaben gelten für alle Netzgebiete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3" customFormat="1">
      <c r="B36" s="144">
        <v>25</v>
      </c>
      <c r="C36" s="145" t="str">
        <f t="shared" si="0"/>
        <v>Angaben gelten für alle Netzgebiete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3" customFormat="1">
      <c r="B37" s="144">
        <v>26</v>
      </c>
      <c r="C37" s="145" t="str">
        <f t="shared" si="0"/>
        <v>Angaben gelten für alle Netzgebiete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3" customFormat="1">
      <c r="B38" s="144">
        <v>27</v>
      </c>
      <c r="C38" s="145" t="str">
        <f t="shared" si="0"/>
        <v>Angaben gelten für alle Netzgebiete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3" customFormat="1">
      <c r="B39" s="144">
        <v>28</v>
      </c>
      <c r="C39" s="145" t="str">
        <f t="shared" si="0"/>
        <v>Angaben gelten für alle Netzgebiete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3" customFormat="1">
      <c r="B40" s="144">
        <v>29</v>
      </c>
      <c r="C40" s="145" t="str">
        <f t="shared" si="0"/>
        <v>Angaben gelten für alle Netzgebiete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3" customFormat="1">
      <c r="B41" s="144">
        <v>30</v>
      </c>
      <c r="C41" s="145" t="str">
        <f t="shared" si="0"/>
        <v>Angaben gelten für alle Netzgebiete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dataConsolidate/>
  <conditionalFormatting sqref="F11:F41 H11:K41 M11:P41 R11:Y41">
    <cfRule type="expression" dxfId="11" priority="11">
      <formula>ISERROR(F11)</formula>
    </cfRule>
  </conditionalFormatting>
  <conditionalFormatting sqref="E12:F41 Y12:Y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 xr:uid="{00000000-0002-0000-0500-000005000000}">
          <x14:formula1>
            <xm:f>'BDEW-Standard'!$B$3:$B$158</xm:f>
          </x14:formula1>
          <xm:sqref>E12 E13 E14 E15 E16 E17 E18 E19 E20 E21 E22 E23 E24 E25 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M11" sqref="M11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GEO Oberkochen</v>
      </c>
      <c r="D4" s="76"/>
      <c r="G4" s="76"/>
      <c r="I4" s="76"/>
      <c r="J4" s="77"/>
      <c r="M4" s="86" t="s">
        <v>541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447</v>
      </c>
      <c r="C5" s="64" t="str">
        <f>Netzbetreiber!$D$28</f>
        <v>Angaben gelten für alle Netzgebiete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445</v>
      </c>
      <c r="C6" s="63" t="str">
        <f>Netzbetreiber!$D$11</f>
        <v>9870027200003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461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50" t="s">
        <v>585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398</v>
      </c>
      <c r="G10" s="348"/>
      <c r="H10" s="348"/>
      <c r="I10" s="348"/>
      <c r="J10" s="348"/>
      <c r="K10" s="348"/>
      <c r="L10" s="349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99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430</v>
      </c>
    </row>
    <row r="11" spans="2:30" ht="15.7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399</v>
      </c>
      <c r="C12" s="110"/>
      <c r="D12" s="111">
        <v>4</v>
      </c>
      <c r="E12" s="303">
        <f>MIN(SUMPRODUCT($M$11:$AD$11,M12:AD12),1)</f>
        <v>1</v>
      </c>
      <c r="F12" s="300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400</v>
      </c>
      <c r="C13" s="117"/>
      <c r="D13" s="111">
        <v>5</v>
      </c>
      <c r="E13" s="304">
        <f t="shared" ref="E13:E33" si="0">MIN(SUMPRODUCT($M$11:$AD$11,M13:AD13),1)</f>
        <v>1</v>
      </c>
      <c r="F13" s="301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401</v>
      </c>
      <c r="C14" s="117"/>
      <c r="D14" s="111">
        <v>6</v>
      </c>
      <c r="E14" s="304">
        <f t="shared" si="0"/>
        <v>0</v>
      </c>
      <c r="F14" s="301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403</v>
      </c>
      <c r="C15" s="117"/>
      <c r="D15" s="111">
        <v>7</v>
      </c>
      <c r="E15" s="304">
        <f t="shared" si="0"/>
        <v>0</v>
      </c>
      <c r="F15" s="301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415</v>
      </c>
      <c r="C16" s="117"/>
      <c r="D16" s="111">
        <v>8</v>
      </c>
      <c r="E16" s="304">
        <f t="shared" si="0"/>
        <v>1</v>
      </c>
      <c r="F16" s="301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416</v>
      </c>
      <c r="C17" s="117"/>
      <c r="D17" s="111">
        <v>9</v>
      </c>
      <c r="E17" s="304">
        <f t="shared" si="0"/>
        <v>1</v>
      </c>
      <c r="F17" s="301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417</v>
      </c>
      <c r="C18" s="117"/>
      <c r="D18" s="111">
        <v>10</v>
      </c>
      <c r="E18" s="304">
        <f t="shared" si="0"/>
        <v>1</v>
      </c>
      <c r="F18" s="301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404</v>
      </c>
      <c r="C19" s="117"/>
      <c r="D19" s="111">
        <v>11</v>
      </c>
      <c r="E19" s="304">
        <f t="shared" si="0"/>
        <v>1</v>
      </c>
      <c r="F19" s="301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651</v>
      </c>
      <c r="C20" s="117"/>
      <c r="D20" s="111">
        <v>12</v>
      </c>
      <c r="E20" s="304">
        <f t="shared" si="0"/>
        <v>1</v>
      </c>
      <c r="F20" s="301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418</v>
      </c>
      <c r="C21" s="117"/>
      <c r="D21" s="111">
        <v>13</v>
      </c>
      <c r="E21" s="304">
        <f t="shared" si="0"/>
        <v>1</v>
      </c>
      <c r="F21" s="301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419</v>
      </c>
      <c r="C22" s="117"/>
      <c r="D22" s="111">
        <v>14</v>
      </c>
      <c r="E22" s="304">
        <f t="shared" si="0"/>
        <v>1</v>
      </c>
      <c r="F22" s="301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420</v>
      </c>
      <c r="C23" s="117"/>
      <c r="D23" s="111">
        <v>15</v>
      </c>
      <c r="E23" s="304">
        <f t="shared" si="0"/>
        <v>1</v>
      </c>
      <c r="F23" s="301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405</v>
      </c>
      <c r="C24" s="117"/>
      <c r="D24" s="111">
        <v>16</v>
      </c>
      <c r="E24" s="304">
        <f t="shared" si="0"/>
        <v>0</v>
      </c>
      <c r="F24" s="301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406</v>
      </c>
      <c r="C25" s="117"/>
      <c r="D25" s="111">
        <v>17</v>
      </c>
      <c r="E25" s="304">
        <f t="shared" si="0"/>
        <v>0</v>
      </c>
      <c r="F25" s="301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407</v>
      </c>
      <c r="C26" s="117"/>
      <c r="D26" s="111">
        <v>18</v>
      </c>
      <c r="E26" s="304">
        <f t="shared" si="0"/>
        <v>1</v>
      </c>
      <c r="F26" s="301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408</v>
      </c>
      <c r="C27" s="117"/>
      <c r="D27" s="111">
        <v>19</v>
      </c>
      <c r="E27" s="304">
        <f t="shared" si="0"/>
        <v>0</v>
      </c>
      <c r="F27" s="301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409</v>
      </c>
      <c r="C28" s="117"/>
      <c r="D28" s="111">
        <v>20</v>
      </c>
      <c r="E28" s="304">
        <f t="shared" si="0"/>
        <v>1</v>
      </c>
      <c r="F28" s="301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410</v>
      </c>
      <c r="C29" s="117"/>
      <c r="D29" s="111">
        <v>21</v>
      </c>
      <c r="E29" s="304">
        <f t="shared" si="0"/>
        <v>0</v>
      </c>
      <c r="F29" s="301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411</v>
      </c>
      <c r="C30" s="117"/>
      <c r="D30" s="111">
        <v>22</v>
      </c>
      <c r="E30" s="304">
        <f t="shared" si="0"/>
        <v>0</v>
      </c>
      <c r="F30" s="301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412</v>
      </c>
      <c r="C31" s="117"/>
      <c r="D31" s="111">
        <v>23</v>
      </c>
      <c r="E31" s="304">
        <f t="shared" si="0"/>
        <v>1</v>
      </c>
      <c r="F31" s="301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413</v>
      </c>
      <c r="C32" s="117"/>
      <c r="D32" s="111">
        <v>24</v>
      </c>
      <c r="E32" s="304">
        <f t="shared" si="0"/>
        <v>1</v>
      </c>
      <c r="F32" s="301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414</v>
      </c>
      <c r="C33" s="123"/>
      <c r="D33" s="124">
        <v>25</v>
      </c>
      <c r="E33" s="305">
        <f t="shared" si="0"/>
        <v>0</v>
      </c>
      <c r="F33" s="302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1" t="s">
        <v>347</v>
      </c>
      <c r="B1" s="212">
        <v>42173</v>
      </c>
      <c r="D1" s="131" t="s">
        <v>457</v>
      </c>
      <c r="F1" s="213" t="s">
        <v>547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7" t="str">
        <f t="shared" si="3"/>
        <v>HK3</v>
      </c>
      <c r="D13" s="334" t="s">
        <v>654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1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8" t="s">
        <v>245</v>
      </c>
      <c r="B96" s="128" t="s">
        <v>55</v>
      </c>
      <c r="C96" s="128" t="s">
        <v>322</v>
      </c>
      <c r="D96" s="231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8" t="s">
        <v>245</v>
      </c>
      <c r="B97" s="128" t="s">
        <v>60</v>
      </c>
      <c r="C97" s="128" t="s">
        <v>327</v>
      </c>
      <c r="D97" s="231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8" t="s">
        <v>245</v>
      </c>
      <c r="B98" s="128" t="s">
        <v>65</v>
      </c>
      <c r="C98" s="128" t="s">
        <v>332</v>
      </c>
      <c r="D98" s="231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8" t="s">
        <v>245</v>
      </c>
      <c r="B99" s="128" t="s">
        <v>18</v>
      </c>
      <c r="C99" s="128" t="s">
        <v>285</v>
      </c>
      <c r="D99" s="231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1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1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1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1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1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1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1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1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1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1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1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1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1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1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1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1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1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1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1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1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1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1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1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1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1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1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1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1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1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1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1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1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1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1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1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1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1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1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1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1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1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1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1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1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1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1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1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1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1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1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1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1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1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1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1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1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1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1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1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8" customWidth="1"/>
    <col min="16" max="16" width="16.5703125" style="233" customWidth="1"/>
    <col min="17" max="16384" width="11.42578125" style="233"/>
  </cols>
  <sheetData>
    <row r="1" spans="1:16" s="232" customFormat="1">
      <c r="A1" s="131" t="s">
        <v>458</v>
      </c>
      <c r="B1" s="128"/>
      <c r="D1" s="213" t="s">
        <v>547</v>
      </c>
    </row>
    <row r="2" spans="1:16">
      <c r="A2" s="233"/>
      <c r="B2" s="232" t="s">
        <v>459</v>
      </c>
    </row>
    <row r="3" spans="1:16" ht="20.100000000000001" customHeight="1">
      <c r="A3" s="352" t="s">
        <v>248</v>
      </c>
      <c r="B3" s="234" t="s">
        <v>86</v>
      </c>
      <c r="C3" s="235"/>
      <c r="D3" s="354" t="s">
        <v>460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368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368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Mack Verena</cp:lastModifiedBy>
  <cp:lastPrinted>2015-03-20T22:59:10Z</cp:lastPrinted>
  <dcterms:created xsi:type="dcterms:W3CDTF">2015-01-15T05:25:41Z</dcterms:created>
  <dcterms:modified xsi:type="dcterms:W3CDTF">2020-11-23T14:46:08Z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ATEV-DMS_RA_REGISTER_NR">
    <vt:lpwstr>03717-06</vt:lpwstr>
  </property>
  <property fmtid="{D5CDD505-2E9C-101B-9397-08002B2CF9AE}" pid="4" name="DATEV-DMS_DOKU_NR">
    <vt:lpwstr>2780500</vt:lpwstr>
  </property>
  <property fmtid="{D5CDD505-2E9C-101B-9397-08002B2CF9AE}" pid="5" name="DATEV-DMS_MANDANT_NR">
    <vt:lpwstr>59999</vt:lpwstr>
  </property>
  <property fmtid="{D5CDD505-2E9C-101B-9397-08002B2CF9AE}" pid="6" name="DATEV-DMS_MANDANT_BEZ">
    <vt:lpwstr>BBH Kanzleiverwaltung (intern)</vt:lpwstr>
  </property>
</Properties>
</file>